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" yWindow="-12" windowWidth="10176" windowHeight="9084"/>
  </bookViews>
  <sheets>
    <sheet name="TRUE BUDGET" sheetId="3" r:id="rId1"/>
    <sheet name="work" sheetId="2" r:id="rId2"/>
    <sheet name="budget" sheetId="1" r:id="rId3"/>
  </sheets>
  <calcPr calcId="144525"/>
</workbook>
</file>

<file path=xl/calcChain.xml><?xml version="1.0" encoding="utf-8"?>
<calcChain xmlns="http://schemas.openxmlformats.org/spreadsheetml/2006/main">
  <c r="C19" i="3" l="1"/>
  <c r="F54" i="3" l="1"/>
  <c r="F63" i="3"/>
  <c r="F62" i="3"/>
  <c r="F61" i="3"/>
  <c r="F60" i="3"/>
  <c r="F59" i="3"/>
  <c r="F58" i="3"/>
  <c r="F57" i="3"/>
  <c r="F56" i="3"/>
  <c r="I29" i="3" l="1"/>
  <c r="I28" i="3"/>
  <c r="G7" i="2" l="1"/>
  <c r="E20" i="3" l="1"/>
  <c r="F20" i="3" s="1"/>
  <c r="J20" i="3" s="1"/>
  <c r="E21" i="3"/>
  <c r="F21" i="3" s="1"/>
  <c r="J21" i="3" s="1"/>
  <c r="E31" i="3" l="1"/>
  <c r="E30" i="3"/>
  <c r="E29" i="3"/>
  <c r="E44" i="3"/>
  <c r="E43" i="3"/>
  <c r="E35" i="3"/>
  <c r="E28" i="3"/>
  <c r="E26" i="3"/>
  <c r="E25" i="3"/>
  <c r="E42" i="3"/>
  <c r="E40" i="3"/>
  <c r="E39" i="3"/>
  <c r="E38" i="3"/>
  <c r="E37" i="3"/>
  <c r="E36" i="3"/>
  <c r="E27" i="3"/>
  <c r="E23" i="3"/>
  <c r="E18" i="3"/>
  <c r="E17" i="3"/>
  <c r="E16" i="3"/>
  <c r="E15" i="3"/>
  <c r="E12" i="3"/>
  <c r="F12" i="3" s="1"/>
  <c r="J12" i="3" s="1"/>
  <c r="E46" i="3"/>
  <c r="E45" i="3"/>
  <c r="E41" i="3"/>
  <c r="E34" i="3"/>
  <c r="E33" i="3"/>
  <c r="E32" i="3"/>
  <c r="E22" i="3"/>
  <c r="E13" i="3"/>
  <c r="E10" i="3"/>
  <c r="E9" i="3"/>
  <c r="E14" i="3"/>
  <c r="E11" i="3"/>
  <c r="E8" i="3"/>
  <c r="H65" i="3" l="1"/>
  <c r="E65" i="3"/>
  <c r="H64" i="3"/>
  <c r="E64" i="3"/>
  <c r="H63" i="3"/>
  <c r="E63" i="3"/>
  <c r="H62" i="3"/>
  <c r="E62" i="3"/>
  <c r="H61" i="3"/>
  <c r="E61" i="3"/>
  <c r="H60" i="3"/>
  <c r="E60" i="3"/>
  <c r="H59" i="3"/>
  <c r="E59" i="3"/>
  <c r="H58" i="3"/>
  <c r="E58" i="3"/>
  <c r="J57" i="3"/>
  <c r="H57" i="3"/>
  <c r="E57" i="3"/>
  <c r="H55" i="3"/>
  <c r="E55" i="3"/>
  <c r="F55" i="3" s="1"/>
  <c r="E47" i="3"/>
  <c r="F47" i="3" s="1"/>
  <c r="J47" i="3" s="1"/>
  <c r="F46" i="3"/>
  <c r="J46" i="3" s="1"/>
  <c r="F45" i="3"/>
  <c r="J45" i="3" s="1"/>
  <c r="F44" i="3"/>
  <c r="J44" i="3" s="1"/>
  <c r="F43" i="3"/>
  <c r="J43" i="3" s="1"/>
  <c r="F42" i="3"/>
  <c r="J42" i="3" s="1"/>
  <c r="F41" i="3"/>
  <c r="J41" i="3" s="1"/>
  <c r="F40" i="3"/>
  <c r="J40" i="3" s="1"/>
  <c r="F39" i="3"/>
  <c r="J39" i="3" s="1"/>
  <c r="F38" i="3"/>
  <c r="J38" i="3" s="1"/>
  <c r="F37" i="3"/>
  <c r="J37" i="3" s="1"/>
  <c r="F36" i="3"/>
  <c r="J36" i="3" s="1"/>
  <c r="F35" i="3"/>
  <c r="J35" i="3" s="1"/>
  <c r="F34" i="3"/>
  <c r="F33" i="3"/>
  <c r="J33" i="3" s="1"/>
  <c r="F32" i="3"/>
  <c r="J32" i="3" s="1"/>
  <c r="F31" i="3"/>
  <c r="J31" i="3" s="1"/>
  <c r="F30" i="3"/>
  <c r="J30" i="3" s="1"/>
  <c r="F29" i="3"/>
  <c r="J29" i="3" s="1"/>
  <c r="F28" i="3"/>
  <c r="J28" i="3" s="1"/>
  <c r="F27" i="3"/>
  <c r="J27" i="3" s="1"/>
  <c r="F26" i="3"/>
  <c r="F23" i="3"/>
  <c r="J23" i="3" s="1"/>
  <c r="F22" i="3"/>
  <c r="J22" i="3" s="1"/>
  <c r="F18" i="3"/>
  <c r="J18" i="3" s="1"/>
  <c r="F16" i="3"/>
  <c r="J16" i="3" s="1"/>
  <c r="F15" i="3"/>
  <c r="J15" i="3" s="1"/>
  <c r="F14" i="3"/>
  <c r="J14" i="3" s="1"/>
  <c r="F13" i="3"/>
  <c r="J13" i="3" s="1"/>
  <c r="F11" i="3"/>
  <c r="J11" i="3" s="1"/>
  <c r="F10" i="3"/>
  <c r="J10" i="3" s="1"/>
  <c r="F9" i="3"/>
  <c r="J9" i="3" s="1"/>
  <c r="F8" i="3"/>
  <c r="J8" i="3" s="1"/>
  <c r="J34" i="3" l="1"/>
  <c r="J26" i="3"/>
  <c r="F25" i="3"/>
  <c r="F17" i="3"/>
  <c r="E71" i="1"/>
  <c r="A71" i="1" s="1"/>
  <c r="E75" i="1"/>
  <c r="E74" i="1"/>
  <c r="E73" i="1"/>
  <c r="E72" i="1"/>
  <c r="I24" i="3" l="1"/>
  <c r="J24" i="3" s="1"/>
  <c r="J25" i="3"/>
  <c r="I30" i="3"/>
  <c r="J17" i="3"/>
  <c r="A72" i="1"/>
  <c r="A73" i="1" s="1"/>
  <c r="A74" i="1" s="1"/>
  <c r="A75" i="1" s="1"/>
  <c r="E40" i="1"/>
  <c r="E19" i="1" l="1"/>
  <c r="F19" i="1" s="1"/>
  <c r="F40" i="1"/>
  <c r="J8" i="1" s="1"/>
  <c r="E43" i="1" l="1"/>
  <c r="E41" i="1" l="1"/>
  <c r="F39" i="1" l="1"/>
  <c r="F37" i="1"/>
  <c r="F33" i="1"/>
  <c r="F32" i="1"/>
  <c r="F31" i="1"/>
  <c r="F18" i="1"/>
  <c r="F17" i="1"/>
  <c r="F16" i="1"/>
  <c r="F15" i="1"/>
  <c r="F14" i="1"/>
  <c r="F13" i="1"/>
  <c r="F12" i="1"/>
  <c r="F11" i="1"/>
  <c r="F10" i="1"/>
  <c r="F7" i="1"/>
  <c r="J54" i="1" l="1"/>
  <c r="E44" i="1" l="1"/>
  <c r="F44" i="1" s="1"/>
  <c r="F43" i="1"/>
  <c r="B20" i="2" l="1"/>
  <c r="D2" i="2" l="1"/>
  <c r="F14" i="2" l="1"/>
  <c r="C53" i="1" l="1"/>
  <c r="C56" i="3"/>
  <c r="H59" i="1"/>
  <c r="E59" i="1"/>
  <c r="E56" i="3" l="1"/>
  <c r="H56" i="3"/>
  <c r="F3" i="2"/>
  <c r="J56" i="3" l="1"/>
  <c r="G4" i="2"/>
  <c r="H60" i="1"/>
  <c r="H62" i="1"/>
  <c r="H61" i="1"/>
  <c r="H58" i="1"/>
  <c r="H57" i="1"/>
  <c r="H56" i="1"/>
  <c r="H55" i="1"/>
  <c r="G5" i="2" l="1"/>
  <c r="F4" i="2"/>
  <c r="F5" i="2" s="1"/>
  <c r="F6" i="2" s="1"/>
  <c r="H53" i="1"/>
  <c r="J53" i="1" s="1"/>
  <c r="H52" i="1"/>
  <c r="J52" i="1" s="1"/>
  <c r="H54" i="1"/>
  <c r="E53" i="1"/>
  <c r="E8" i="1"/>
  <c r="F8" i="1" s="1"/>
  <c r="G6" i="2" l="1"/>
  <c r="C54" i="3"/>
  <c r="C51" i="1"/>
  <c r="F7" i="2"/>
  <c r="F8" i="2" s="1"/>
  <c r="E21" i="1"/>
  <c r="F21" i="1" s="1"/>
  <c r="E20" i="1"/>
  <c r="F20" i="1" s="1"/>
  <c r="E18" i="1"/>
  <c r="E19" i="3" l="1"/>
  <c r="E54" i="3"/>
  <c r="H54" i="3"/>
  <c r="H66" i="3" s="1"/>
  <c r="F9" i="2"/>
  <c r="D19" i="2"/>
  <c r="F19" i="2" s="1"/>
  <c r="E19" i="2" s="1"/>
  <c r="D20" i="2"/>
  <c r="F20" i="2" s="1"/>
  <c r="E20" i="2" s="1"/>
  <c r="H51" i="1"/>
  <c r="J51" i="1" s="1"/>
  <c r="E38" i="1"/>
  <c r="F38" i="1" s="1"/>
  <c r="F19" i="3" l="1"/>
  <c r="E49" i="3"/>
  <c r="D19" i="3" s="1"/>
  <c r="L54" i="3"/>
  <c r="M54" i="3" s="1"/>
  <c r="N54" i="3" s="1"/>
  <c r="E66" i="3"/>
  <c r="D54" i="3" s="1"/>
  <c r="H63" i="1"/>
  <c r="E51" i="1"/>
  <c r="E60" i="1"/>
  <c r="E52" i="1"/>
  <c r="E39" i="1"/>
  <c r="E7" i="1"/>
  <c r="E55" i="1"/>
  <c r="E54" i="1"/>
  <c r="E61" i="1"/>
  <c r="E58" i="1"/>
  <c r="E57" i="1"/>
  <c r="E56" i="1"/>
  <c r="E42" i="1"/>
  <c r="F42" i="1" s="1"/>
  <c r="F41" i="1"/>
  <c r="E34" i="1"/>
  <c r="F34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62" i="1"/>
  <c r="E36" i="1"/>
  <c r="F36" i="1" s="1"/>
  <c r="E35" i="1"/>
  <c r="F35" i="1" s="1"/>
  <c r="E11" i="1"/>
  <c r="E10" i="1"/>
  <c r="E17" i="1"/>
  <c r="E16" i="1"/>
  <c r="E15" i="1"/>
  <c r="E14" i="1"/>
  <c r="E13" i="1"/>
  <c r="E12" i="1"/>
  <c r="E9" i="1"/>
  <c r="F9" i="1" s="1"/>
  <c r="E37" i="1"/>
  <c r="E33" i="1"/>
  <c r="E32" i="1"/>
  <c r="E31" i="1"/>
  <c r="D34" i="3" l="1"/>
  <c r="D39" i="3"/>
  <c r="D31" i="3"/>
  <c r="D35" i="3"/>
  <c r="D26" i="3"/>
  <c r="D13" i="3"/>
  <c r="D15" i="3"/>
  <c r="D17" i="3"/>
  <c r="D8" i="3"/>
  <c r="D45" i="3"/>
  <c r="D9" i="3"/>
  <c r="D27" i="3"/>
  <c r="D18" i="3"/>
  <c r="D14" i="3"/>
  <c r="D12" i="3"/>
  <c r="D29" i="3"/>
  <c r="D46" i="3"/>
  <c r="D11" i="3"/>
  <c r="D36" i="3"/>
  <c r="D20" i="3"/>
  <c r="D38" i="3"/>
  <c r="D23" i="3"/>
  <c r="F49" i="3"/>
  <c r="J49" i="3" s="1"/>
  <c r="D40" i="3"/>
  <c r="D43" i="3"/>
  <c r="D32" i="3"/>
  <c r="D41" i="3"/>
  <c r="D21" i="3"/>
  <c r="D22" i="3"/>
  <c r="D16" i="3"/>
  <c r="D30" i="3"/>
  <c r="D25" i="3"/>
  <c r="D37" i="3"/>
  <c r="D28" i="3"/>
  <c r="D33" i="3"/>
  <c r="D42" i="3"/>
  <c r="D44" i="3"/>
  <c r="D10" i="3"/>
  <c r="D47" i="3"/>
  <c r="D61" i="3"/>
  <c r="D65" i="3"/>
  <c r="D55" i="3"/>
  <c r="D64" i="3"/>
  <c r="D60" i="3"/>
  <c r="D62" i="3"/>
  <c r="D57" i="3"/>
  <c r="D59" i="3"/>
  <c r="D56" i="3"/>
  <c r="D58" i="3"/>
  <c r="F66" i="3"/>
  <c r="E69" i="3"/>
  <c r="D63" i="3"/>
  <c r="J19" i="3"/>
  <c r="I7" i="3"/>
  <c r="J7" i="3" s="1"/>
  <c r="J54" i="3" s="1"/>
  <c r="J63" i="1"/>
  <c r="J65" i="1"/>
  <c r="L51" i="1"/>
  <c r="M51" i="1" s="1"/>
  <c r="N51" i="1" s="1"/>
  <c r="E63" i="1"/>
  <c r="F63" i="1" s="1"/>
  <c r="E46" i="1"/>
  <c r="D19" i="1" s="1"/>
  <c r="F69" i="3" l="1"/>
  <c r="D66" i="3"/>
  <c r="J66" i="3"/>
  <c r="J68" i="3"/>
  <c r="D49" i="3"/>
  <c r="D43" i="1"/>
  <c r="D40" i="1"/>
  <c r="D18" i="1"/>
  <c r="F46" i="1"/>
  <c r="F66" i="1" s="1"/>
  <c r="D62" i="1"/>
  <c r="D53" i="1"/>
  <c r="D22" i="1"/>
  <c r="D20" i="1"/>
  <c r="D30" i="1"/>
  <c r="D7" i="1"/>
  <c r="D9" i="1"/>
  <c r="D33" i="1"/>
  <c r="D31" i="1"/>
  <c r="D11" i="1"/>
  <c r="D61" i="1"/>
  <c r="D59" i="1"/>
  <c r="D57" i="1"/>
  <c r="D54" i="1"/>
  <c r="D58" i="1"/>
  <c r="D51" i="1"/>
  <c r="D60" i="1"/>
  <c r="D55" i="1"/>
  <c r="D52" i="1"/>
  <c r="D56" i="1"/>
  <c r="D36" i="1"/>
  <c r="D39" i="1"/>
  <c r="D42" i="1"/>
  <c r="D35" i="1"/>
  <c r="D17" i="1"/>
  <c r="E66" i="1"/>
  <c r="D16" i="1"/>
  <c r="D26" i="1"/>
  <c r="D32" i="1"/>
  <c r="D41" i="1"/>
  <c r="D28" i="1"/>
  <c r="D23" i="1"/>
  <c r="D38" i="1"/>
  <c r="D24" i="1"/>
  <c r="D34" i="1"/>
  <c r="D12" i="1"/>
  <c r="D21" i="1"/>
  <c r="D37" i="1"/>
  <c r="D27" i="1"/>
  <c r="D15" i="1"/>
  <c r="D10" i="1"/>
  <c r="D44" i="1"/>
  <c r="D25" i="1"/>
  <c r="D14" i="1"/>
  <c r="D13" i="1"/>
  <c r="D8" i="1"/>
  <c r="D29" i="1"/>
  <c r="D63" i="1" l="1"/>
  <c r="D46" i="1"/>
</calcChain>
</file>

<file path=xl/sharedStrings.xml><?xml version="1.0" encoding="utf-8"?>
<sst xmlns="http://schemas.openxmlformats.org/spreadsheetml/2006/main" count="288" uniqueCount="151">
  <si>
    <t xml:space="preserve">Expenses </t>
  </si>
  <si>
    <t xml:space="preserve">Item </t>
  </si>
  <si>
    <t xml:space="preserve">Frequency </t>
  </si>
  <si>
    <t xml:space="preserve">Amount </t>
  </si>
  <si>
    <t xml:space="preserve">Amount / Month </t>
  </si>
  <si>
    <t xml:space="preserve">Groceries </t>
  </si>
  <si>
    <t>week</t>
  </si>
  <si>
    <t>Petrol</t>
  </si>
  <si>
    <t xml:space="preserve">Gas </t>
  </si>
  <si>
    <t xml:space="preserve">quarter </t>
  </si>
  <si>
    <t xml:space="preserve">Electricity </t>
  </si>
  <si>
    <t>month</t>
  </si>
  <si>
    <t xml:space="preserve">year </t>
  </si>
  <si>
    <t xml:space="preserve">Home &amp; Contents Insurance </t>
  </si>
  <si>
    <t>year</t>
  </si>
  <si>
    <t>Car Maintenance</t>
  </si>
  <si>
    <t xml:space="preserve">Pest Control </t>
  </si>
  <si>
    <t>Pay TV</t>
  </si>
  <si>
    <t xml:space="preserve">Charity / Donations </t>
  </si>
  <si>
    <t xml:space="preserve">Medicines </t>
  </si>
  <si>
    <t>Total Expenses/Month</t>
  </si>
  <si>
    <t>Gifts</t>
  </si>
  <si>
    <t>Total Revenues/Month</t>
  </si>
  <si>
    <t>Water</t>
  </si>
  <si>
    <t xml:space="preserve">Council rates  </t>
  </si>
  <si>
    <t xml:space="preserve">Health Insurance </t>
  </si>
  <si>
    <t>Telephone - landline &amp; internet</t>
  </si>
  <si>
    <t>Pocket Money - allowance 1</t>
  </si>
  <si>
    <t>Pocket Money - allowance 2</t>
  </si>
  <si>
    <t>SURPLUS/(DEFICIT)</t>
  </si>
  <si>
    <t>weekly</t>
  </si>
  <si>
    <t>fortnight</t>
  </si>
  <si>
    <t>Others - Centrelink - Part A</t>
  </si>
  <si>
    <t>Others - Centrelink - Part B</t>
  </si>
  <si>
    <t xml:space="preserve">Credit Cards </t>
  </si>
  <si>
    <t>Other investment income (shares, managed funds)</t>
  </si>
  <si>
    <t>Client:</t>
  </si>
  <si>
    <t>Rental Income - investment property 1</t>
  </si>
  <si>
    <t>Rental Income - investment property 2</t>
  </si>
  <si>
    <t>Revenue/Income:</t>
  </si>
  <si>
    <t>BUDGET  PLANNER</t>
  </si>
  <si>
    <t>rent</t>
  </si>
  <si>
    <t>savings for 1st home</t>
  </si>
  <si>
    <t>Child Care</t>
  </si>
  <si>
    <t>Mobile phone - 1 - john postpaid</t>
  </si>
  <si>
    <t>Mobile phone - 2 - cha prepaid</t>
  </si>
  <si>
    <t>CTP Green Slip Insurance - Car 1 (CRV)</t>
  </si>
  <si>
    <t>CTP Green Slip Insurance - Car 2 (Captiva)</t>
  </si>
  <si>
    <t>Comprehensive Car Insurance - Car 1 (CRV)</t>
  </si>
  <si>
    <t>Rego - Car 1 (CRV)</t>
  </si>
  <si>
    <t>Comprehensive Car Insurance - Car 2 (Captiva)</t>
  </si>
  <si>
    <t>Rego - Car 2 (Captiva)</t>
  </si>
  <si>
    <t>Miscellaneous  - responsibilities - transfer to Philippines</t>
  </si>
  <si>
    <t>Car Loan (Captiva due 2015)</t>
  </si>
  <si>
    <t>Personal Loan (GE Money due 2018)</t>
  </si>
  <si>
    <t>quarterly</t>
  </si>
  <si>
    <t>Salary 1 (after tax) - John GP</t>
  </si>
  <si>
    <t>Salary 2 (after tax) - John VMO</t>
  </si>
  <si>
    <t>monthly</t>
  </si>
  <si>
    <t>Others - Centrelink - childcare rebate</t>
  </si>
  <si>
    <t xml:space="preserve"> John / Charina Mantilla</t>
  </si>
  <si>
    <t>School Fees - yearly</t>
  </si>
  <si>
    <t>John - work Medical Indemnity Insurance</t>
  </si>
  <si>
    <t>yearly</t>
  </si>
  <si>
    <t>John - College Membership fee</t>
  </si>
  <si>
    <t>Salary 3 (after tax) - John Locum</t>
  </si>
  <si>
    <t>Salary 4 (after tax) - Cha Target</t>
  </si>
  <si>
    <t>patient per hour</t>
  </si>
  <si>
    <t>fee</t>
  </si>
  <si>
    <t>hours per day</t>
  </si>
  <si>
    <t>days per week</t>
  </si>
  <si>
    <t>~ patient per day</t>
  </si>
  <si>
    <t>~ total intake per day</t>
  </si>
  <si>
    <t>~ total intake per week</t>
  </si>
  <si>
    <t>~ total intake per year</t>
  </si>
  <si>
    <t>~ total intake per fothnight</t>
  </si>
  <si>
    <t>locum/day</t>
  </si>
  <si>
    <t>locums in a month</t>
  </si>
  <si>
    <t>Amount Yearly</t>
  </si>
  <si>
    <t>John Monthly</t>
  </si>
  <si>
    <t>John Yearly</t>
  </si>
  <si>
    <t>John Weekly</t>
  </si>
  <si>
    <t>take home/month</t>
  </si>
  <si>
    <t>tax</t>
  </si>
  <si>
    <t>per week</t>
  </si>
  <si>
    <t>percentage</t>
  </si>
  <si>
    <t>take home</t>
  </si>
  <si>
    <t xml:space="preserve">full </t>
  </si>
  <si>
    <t>~per week</t>
  </si>
  <si>
    <t>SALARY</t>
  </si>
  <si>
    <t>BUSINESS</t>
  </si>
  <si>
    <t>per month</t>
  </si>
  <si>
    <t>per year</t>
  </si>
  <si>
    <t>Miscellaneous</t>
  </si>
  <si>
    <t>Month</t>
  </si>
  <si>
    <t>~40hours per week</t>
  </si>
  <si>
    <t>tax estimate</t>
  </si>
  <si>
    <t>to pay</t>
  </si>
  <si>
    <t>GE CreditLINE</t>
  </si>
  <si>
    <t>Tower Insurance - John and Cha</t>
  </si>
  <si>
    <t>ANZ account debits:/week</t>
  </si>
  <si>
    <t>Sept</t>
  </si>
  <si>
    <t>Oct</t>
  </si>
  <si>
    <t>Nov</t>
  </si>
  <si>
    <t>December</t>
  </si>
  <si>
    <t>January</t>
  </si>
  <si>
    <t>months</t>
  </si>
  <si>
    <t>hospital</t>
  </si>
  <si>
    <t>GST</t>
  </si>
  <si>
    <t>car gst</t>
  </si>
  <si>
    <t>Exetel phone/fax/internet</t>
  </si>
  <si>
    <t>Virgin mobile</t>
  </si>
  <si>
    <t>College Membership</t>
  </si>
  <si>
    <t>Avant insurance / Medical Imdemnity</t>
  </si>
  <si>
    <t>BMW X3</t>
  </si>
  <si>
    <t xml:space="preserve">   - X3 Petrol</t>
  </si>
  <si>
    <t xml:space="preserve">   - Insurance</t>
  </si>
  <si>
    <t xml:space="preserve">   - Tyre and Rim Insurance</t>
  </si>
  <si>
    <t xml:space="preserve">   - Rego</t>
  </si>
  <si>
    <t>AHPRA registration</t>
  </si>
  <si>
    <t>Yearly</t>
  </si>
  <si>
    <t>PERSONAL</t>
  </si>
  <si>
    <t xml:space="preserve">Business </t>
  </si>
  <si>
    <t>Personal</t>
  </si>
  <si>
    <t>House Mortgage</t>
  </si>
  <si>
    <t>Groceries</t>
  </si>
  <si>
    <t>Council Rates</t>
  </si>
  <si>
    <t>Gas</t>
  </si>
  <si>
    <t>quarter</t>
  </si>
  <si>
    <t>Electricity</t>
  </si>
  <si>
    <t>MBF Health Insurance</t>
  </si>
  <si>
    <t xml:space="preserve">   - Green Slip</t>
  </si>
  <si>
    <t xml:space="preserve">    - AAMI insurance</t>
  </si>
  <si>
    <t xml:space="preserve">    - Rego</t>
  </si>
  <si>
    <t xml:space="preserve">    - Green Slip</t>
  </si>
  <si>
    <t xml:space="preserve">Captiva </t>
  </si>
  <si>
    <t>Home and contents Insurance</t>
  </si>
  <si>
    <t xml:space="preserve">    - Maintenance</t>
  </si>
  <si>
    <t>Money transfer to Philippines</t>
  </si>
  <si>
    <t>School Fees (Jessica)</t>
  </si>
  <si>
    <t>Child Care (Jadrian)</t>
  </si>
  <si>
    <t>GE Creditline</t>
  </si>
  <si>
    <t>Weekly</t>
  </si>
  <si>
    <t>John</t>
  </si>
  <si>
    <t>cha</t>
  </si>
  <si>
    <t>Cha virgin mobile</t>
  </si>
  <si>
    <t>total</t>
  </si>
  <si>
    <t>Pay 30% to wollombi medical practice</t>
  </si>
  <si>
    <t>Salary 1 (before tax) - John GP</t>
  </si>
  <si>
    <t>Salary 2 (before tax) - John VMO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</si>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</sst>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22" x14ac:knownFonts="1">
    <font>
      <sz val="10"/>
      <name val="Arial"/>
    </font>
    <font>
      <sz val="10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i/>
      <u/>
      <sz val="12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0"/>
      <name val="Arial"/>
      <family val="2"/>
    </font>
    <font>
      <b/>
      <i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9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6" fillId="0" borderId="0" applyFont="0" applyFill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</cellStyleXfs>
  <cellXfs count="104">
    <xf numFmtId="0" fontId="0" fillId="0" borderId="0" xfId="0"/>
    <xf numFmtId="0" fontId="0" fillId="0" borderId="0" xfId="0" applyFill="1" applyBorder="1"/>
    <xf numFmtId="164" fontId="0" fillId="0" borderId="0" xfId="0" applyNumberFormat="1" applyFill="1" applyBorder="1"/>
    <xf numFmtId="0" fontId="4" fillId="0" borderId="0" xfId="0" applyFont="1" applyFill="1" applyBorder="1"/>
    <xf numFmtId="0" fontId="2" fillId="2" borderId="0" xfId="0" applyFont="1" applyFill="1" applyBorder="1"/>
    <xf numFmtId="164" fontId="4" fillId="2" borderId="0" xfId="0" applyNumberFormat="1" applyFont="1" applyFill="1" applyBorder="1"/>
    <xf numFmtId="0" fontId="4" fillId="2" borderId="0" xfId="0" applyFont="1" applyFill="1" applyBorder="1"/>
    <xf numFmtId="0" fontId="7" fillId="2" borderId="1" xfId="0" applyFont="1" applyFill="1" applyBorder="1"/>
    <xf numFmtId="164" fontId="7" fillId="2" borderId="1" xfId="0" applyNumberFormat="1" applyFont="1" applyFill="1" applyBorder="1"/>
    <xf numFmtId="0" fontId="9" fillId="0" borderId="0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164" fontId="4" fillId="2" borderId="2" xfId="0" applyNumberFormat="1" applyFont="1" applyFill="1" applyBorder="1"/>
    <xf numFmtId="9" fontId="4" fillId="2" borderId="2" xfId="0" applyNumberFormat="1" applyFont="1" applyFill="1" applyBorder="1"/>
    <xf numFmtId="164" fontId="4" fillId="2" borderId="2" xfId="0" applyNumberFormat="1" applyFont="1" applyFill="1" applyBorder="1" applyAlignment="1">
      <alignment horizontal="right"/>
    </xf>
    <xf numFmtId="0" fontId="13" fillId="2" borderId="2" xfId="0" applyFont="1" applyFill="1" applyBorder="1"/>
    <xf numFmtId="0" fontId="4" fillId="0" borderId="0" xfId="0" applyFont="1"/>
    <xf numFmtId="0" fontId="5" fillId="2" borderId="1" xfId="0" applyFont="1" applyFill="1" applyBorder="1"/>
    <xf numFmtId="0" fontId="3" fillId="2" borderId="0" xfId="0" applyFont="1" applyFill="1" applyBorder="1"/>
    <xf numFmtId="164" fontId="3" fillId="3" borderId="2" xfId="0" applyNumberFormat="1" applyFont="1" applyFill="1" applyBorder="1"/>
    <xf numFmtId="164" fontId="3" fillId="4" borderId="2" xfId="0" applyNumberFormat="1" applyFont="1" applyFill="1" applyBorder="1"/>
    <xf numFmtId="8" fontId="5" fillId="2" borderId="1" xfId="0" applyNumberFormat="1" applyFont="1" applyFill="1" applyBorder="1"/>
    <xf numFmtId="10" fontId="4" fillId="3" borderId="2" xfId="0" applyNumberFormat="1" applyFont="1" applyFill="1" applyBorder="1"/>
    <xf numFmtId="0" fontId="8" fillId="3" borderId="0" xfId="0" applyFont="1" applyFill="1" applyBorder="1"/>
    <xf numFmtId="164" fontId="9" fillId="3" borderId="0" xfId="0" applyNumberFormat="1" applyFont="1" applyFill="1" applyBorder="1"/>
    <xf numFmtId="164" fontId="1" fillId="2" borderId="3" xfId="0" applyNumberFormat="1" applyFont="1" applyFill="1" applyBorder="1"/>
    <xf numFmtId="9" fontId="4" fillId="2" borderId="3" xfId="0" applyNumberFormat="1" applyFont="1" applyFill="1" applyBorder="1"/>
    <xf numFmtId="164" fontId="4" fillId="2" borderId="3" xfId="0" applyNumberFormat="1" applyFont="1" applyFill="1" applyBorder="1"/>
    <xf numFmtId="0" fontId="2" fillId="4" borderId="0" xfId="0" applyFont="1" applyFill="1" applyBorder="1"/>
    <xf numFmtId="164" fontId="4" fillId="4" borderId="0" xfId="0" applyNumberFormat="1" applyFont="1" applyFill="1" applyBorder="1"/>
    <xf numFmtId="10" fontId="4" fillId="4" borderId="2" xfId="0" applyNumberFormat="1" applyFont="1" applyFill="1" applyBorder="1"/>
    <xf numFmtId="0" fontId="8" fillId="4" borderId="0" xfId="0" applyFont="1" applyFill="1" applyBorder="1"/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164" fontId="4" fillId="3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wrapText="1"/>
    </xf>
    <xf numFmtId="164" fontId="4" fillId="4" borderId="2" xfId="0" applyNumberFormat="1" applyFont="1" applyFill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/>
    <xf numFmtId="164" fontId="11" fillId="0" borderId="5" xfId="0" applyNumberFormat="1" applyFont="1" applyFill="1" applyBorder="1"/>
    <xf numFmtId="0" fontId="11" fillId="0" borderId="6" xfId="0" applyFont="1" applyFill="1" applyBorder="1"/>
    <xf numFmtId="0" fontId="1" fillId="0" borderId="0" xfId="0" applyFont="1"/>
    <xf numFmtId="164" fontId="0" fillId="0" borderId="0" xfId="0" applyNumberFormat="1"/>
    <xf numFmtId="0" fontId="0" fillId="0" borderId="0" xfId="0" applyNumberFormat="1"/>
    <xf numFmtId="0" fontId="14" fillId="5" borderId="0" xfId="0" applyFont="1" applyFill="1"/>
    <xf numFmtId="164" fontId="0" fillId="5" borderId="0" xfId="0" applyNumberFormat="1" applyFill="1"/>
    <xf numFmtId="164" fontId="14" fillId="5" borderId="0" xfId="0" applyNumberFormat="1" applyFont="1" applyFill="1"/>
    <xf numFmtId="0" fontId="15" fillId="6" borderId="0" xfId="0" applyFont="1" applyFill="1"/>
    <xf numFmtId="164" fontId="15" fillId="6" borderId="0" xfId="0" applyNumberFormat="1" applyFont="1" applyFill="1"/>
    <xf numFmtId="0" fontId="15" fillId="0" borderId="0" xfId="0" applyFont="1" applyFill="1"/>
    <xf numFmtId="9" fontId="0" fillId="0" borderId="0" xfId="1" applyFont="1"/>
    <xf numFmtId="9" fontId="0" fillId="0" borderId="0" xfId="0" applyNumberFormat="1"/>
    <xf numFmtId="164" fontId="17" fillId="7" borderId="0" xfId="2" applyNumberFormat="1"/>
    <xf numFmtId="9" fontId="14" fillId="0" borderId="0" xfId="0" applyNumberFormat="1" applyFont="1"/>
    <xf numFmtId="164" fontId="14" fillId="0" borderId="0" xfId="0" applyNumberFormat="1" applyFont="1"/>
    <xf numFmtId="164" fontId="18" fillId="8" borderId="0" xfId="3" applyNumberFormat="1"/>
    <xf numFmtId="44" fontId="0" fillId="0" borderId="0" xfId="5" applyFont="1"/>
    <xf numFmtId="44" fontId="0" fillId="0" borderId="0" xfId="5" applyFont="1" applyFill="1" applyBorder="1"/>
    <xf numFmtId="44" fontId="19" fillId="0" borderId="0" xfId="5" applyFont="1"/>
    <xf numFmtId="44" fontId="1" fillId="0" borderId="0" xfId="5" applyFont="1"/>
    <xf numFmtId="44" fontId="19" fillId="0" borderId="0" xfId="4" applyNumberFormat="1"/>
    <xf numFmtId="0" fontId="0" fillId="0" borderId="0" xfId="1" applyNumberFormat="1" applyFont="1" applyFill="1" applyBorder="1"/>
    <xf numFmtId="164" fontId="18" fillId="8" borderId="0" xfId="3" applyNumberFormat="1" applyBorder="1"/>
    <xf numFmtId="0" fontId="1" fillId="2" borderId="2" xfId="0" applyFont="1" applyFill="1" applyBorder="1" applyAlignment="1">
      <alignment wrapText="1"/>
    </xf>
    <xf numFmtId="44" fontId="20" fillId="0" borderId="0" xfId="5" applyFont="1"/>
    <xf numFmtId="0" fontId="1" fillId="9" borderId="2" xfId="0" applyFont="1" applyFill="1" applyBorder="1"/>
    <xf numFmtId="164" fontId="4" fillId="9" borderId="2" xfId="0" applyNumberFormat="1" applyFont="1" applyFill="1" applyBorder="1"/>
    <xf numFmtId="9" fontId="4" fillId="9" borderId="2" xfId="0" applyNumberFormat="1" applyFont="1" applyFill="1" applyBorder="1"/>
    <xf numFmtId="0" fontId="0" fillId="9" borderId="0" xfId="0" applyFill="1"/>
    <xf numFmtId="0" fontId="1" fillId="9" borderId="0" xfId="0" applyFont="1" applyFill="1"/>
    <xf numFmtId="44" fontId="20" fillId="9" borderId="0" xfId="5" applyFont="1" applyFill="1"/>
    <xf numFmtId="164" fontId="0" fillId="9" borderId="0" xfId="0" applyNumberFormat="1" applyFill="1"/>
    <xf numFmtId="164" fontId="1" fillId="9" borderId="2" xfId="0" applyNumberFormat="1" applyFont="1" applyFill="1" applyBorder="1"/>
    <xf numFmtId="9" fontId="1" fillId="9" borderId="2" xfId="0" applyNumberFormat="1" applyFont="1" applyFill="1" applyBorder="1"/>
    <xf numFmtId="44" fontId="1" fillId="9" borderId="0" xfId="5" applyFont="1" applyFill="1"/>
    <xf numFmtId="44" fontId="0" fillId="0" borderId="0" xfId="0" applyNumberFormat="1"/>
    <xf numFmtId="0" fontId="0" fillId="10" borderId="0" xfId="0" applyFill="1"/>
    <xf numFmtId="44" fontId="0" fillId="10" borderId="0" xfId="0" applyNumberFormat="1" applyFill="1"/>
    <xf numFmtId="44" fontId="0" fillId="9" borderId="0" xfId="5" applyFont="1" applyFill="1"/>
    <xf numFmtId="44" fontId="15" fillId="6" borderId="0" xfId="5" applyFont="1" applyFill="1"/>
    <xf numFmtId="164" fontId="3" fillId="11" borderId="2" xfId="0" applyNumberFormat="1" applyFont="1" applyFill="1" applyBorder="1"/>
    <xf numFmtId="10" fontId="3" fillId="11" borderId="2" xfId="0" applyNumberFormat="1" applyFont="1" applyFill="1" applyBorder="1"/>
    <xf numFmtId="44" fontId="21" fillId="11" borderId="0" xfId="5" applyFont="1" applyFill="1"/>
    <xf numFmtId="0" fontId="3" fillId="11" borderId="0" xfId="0" applyFont="1" applyFill="1"/>
    <xf numFmtId="44" fontId="3" fillId="11" borderId="0" xfId="5" applyFont="1" applyFill="1"/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/>
    </xf>
    <xf numFmtId="0" fontId="3" fillId="11" borderId="8" xfId="0" applyFont="1" applyFill="1" applyBorder="1" applyAlignment="1">
      <alignment horizontal="center"/>
    </xf>
    <xf numFmtId="0" fontId="3" fillId="11" borderId="9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16" fillId="0" borderId="0" xfId="6"/>
  </cellXfs>
  <cellStyles count="7">
    <cellStyle name="Bad" xfId="2" builtinId="27"/>
    <cellStyle name="Currency" xfId="5" builtinId="4"/>
    <cellStyle name="Explanatory Text" xfId="4" builtinId="53"/>
    <cellStyle name="Good" xfId="3" builtinId="26"/>
    <cellStyle name="Normal" xfId="0" builtinId="0"/>
    <cellStyle name="Normal 2" xfId="6"/>
    <cellStyle name="Percent" xfId="1" builtinId="5"/>
  </cellStyles>
  <dxfs count="0"/>
  <tableStyles count="0" defaultTableStyle="TableStyleMedium9" defaultPivotStyle="PivotStyleLight16"/>
  <colors>
    <mruColors>
      <color rgb="FFFF66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tabSelected="1" topLeftCell="A4" zoomScaleNormal="100" workbookViewId="0">
      <selection activeCell="C19" sqref="C19"/>
    </sheetView>
  </sheetViews>
  <sheetFormatPr defaultColWidth="9.109375" defaultRowHeight="13.2" x14ac:dyDescent="0.25"/>
  <cols>
    <col min="1" max="1" width="51" style="1" customWidth="1"/>
    <col min="2" max="2" width="12.5546875" style="1" customWidth="1"/>
    <col min="3" max="3" width="10.33203125" style="2" customWidth="1"/>
    <col min="4" max="4" width="9.109375" style="2" bestFit="1" customWidth="1"/>
    <col min="5" max="5" width="16" style="1" bestFit="1" customWidth="1"/>
    <col min="6" max="6" width="11.109375" style="59" bestFit="1" customWidth="1"/>
    <col min="7" max="7" width="4.5546875" style="1" customWidth="1"/>
    <col min="8" max="8" width="12.77734375" style="1" customWidth="1"/>
    <col min="9" max="9" width="11.88671875" style="1" customWidth="1"/>
    <col min="10" max="10" width="12.77734375" style="60" customWidth="1"/>
    <col min="11" max="11" width="2.88671875" style="1" customWidth="1"/>
    <col min="12" max="12" width="11.77734375" style="1" customWidth="1"/>
    <col min="13" max="13" width="12.21875" style="1" customWidth="1"/>
    <col min="14" max="14" width="11.109375" style="1" bestFit="1" customWidth="1"/>
    <col min="15" max="16384" width="9.109375" style="1"/>
  </cols>
  <sheetData>
    <row r="1" spans="1:14" x14ac:dyDescent="0.25">
      <c r="A1" s="88" t="s">
        <v>40</v>
      </c>
      <c r="B1" s="89"/>
      <c r="C1" s="89"/>
      <c r="D1" s="89"/>
      <c r="E1" s="90"/>
    </row>
    <row r="2" spans="1:14" x14ac:dyDescent="0.25">
      <c r="A2" s="91"/>
      <c r="B2" s="92"/>
      <c r="C2" s="92"/>
      <c r="D2" s="92"/>
      <c r="E2" s="93"/>
    </row>
    <row r="3" spans="1:14" ht="18" thickBot="1" x14ac:dyDescent="0.35">
      <c r="A3" s="40" t="s">
        <v>36</v>
      </c>
      <c r="B3" s="41" t="s">
        <v>60</v>
      </c>
      <c r="C3" s="42"/>
      <c r="D3" s="42"/>
      <c r="E3" s="43"/>
    </row>
    <row r="5" spans="1:14" s="9" customFormat="1" ht="19.5" customHeight="1" x14ac:dyDescent="0.3">
      <c r="A5" s="23" t="s">
        <v>0</v>
      </c>
      <c r="B5" s="23"/>
      <c r="C5" s="24"/>
      <c r="D5" s="24"/>
      <c r="E5" s="24"/>
      <c r="F5" s="59"/>
      <c r="G5"/>
      <c r="H5"/>
      <c r="I5"/>
      <c r="J5" s="59"/>
      <c r="K5"/>
      <c r="L5"/>
      <c r="M5"/>
      <c r="N5"/>
    </row>
    <row r="6" spans="1:14" x14ac:dyDescent="0.25">
      <c r="A6" s="32" t="s">
        <v>1</v>
      </c>
      <c r="B6" s="33" t="s">
        <v>2</v>
      </c>
      <c r="C6" s="34" t="s">
        <v>3</v>
      </c>
      <c r="D6" s="34"/>
      <c r="E6" s="34" t="s">
        <v>4</v>
      </c>
      <c r="F6" s="59" t="s">
        <v>30</v>
      </c>
      <c r="G6"/>
      <c r="H6"/>
      <c r="I6" s="44" t="s">
        <v>142</v>
      </c>
      <c r="J6" s="59" t="s">
        <v>150</v>
      </c>
      <c r="K6"/>
      <c r="L6"/>
      <c r="M6"/>
      <c r="N6"/>
    </row>
    <row r="7" spans="1:14" x14ac:dyDescent="0.25">
      <c r="A7" s="68" t="s">
        <v>90</v>
      </c>
      <c r="B7" s="68"/>
      <c r="C7" s="75"/>
      <c r="D7" s="76"/>
      <c r="E7" s="75"/>
      <c r="F7" s="77"/>
      <c r="G7" s="72"/>
      <c r="H7" s="72" t="s">
        <v>122</v>
      </c>
      <c r="I7" s="77">
        <f>SUM(F8:F23)</f>
        <v>2835.0696153846152</v>
      </c>
      <c r="J7" s="81">
        <f>I7*52</f>
        <v>147423.62</v>
      </c>
      <c r="K7"/>
      <c r="L7"/>
      <c r="M7"/>
      <c r="N7"/>
    </row>
    <row r="8" spans="1:14" x14ac:dyDescent="0.25">
      <c r="A8" s="38" t="s">
        <v>113</v>
      </c>
      <c r="B8" s="38" t="s">
        <v>58</v>
      </c>
      <c r="C8" s="12">
        <v>250</v>
      </c>
      <c r="D8" s="13">
        <f t="shared" ref="D8:D23" si="0">E8/$E$49</f>
        <v>1.1163471098257081E-2</v>
      </c>
      <c r="E8" s="12">
        <f>C8*12/12</f>
        <v>250</v>
      </c>
      <c r="F8" s="67">
        <f t="shared" ref="F8:F47" si="1">(E8*12)/52</f>
        <v>57.692307692307693</v>
      </c>
      <c r="G8"/>
      <c r="H8"/>
      <c r="I8"/>
      <c r="J8" s="59">
        <f>F8*52</f>
        <v>3000</v>
      </c>
      <c r="K8"/>
      <c r="L8"/>
      <c r="M8"/>
      <c r="N8"/>
    </row>
    <row r="9" spans="1:14" s="3" customFormat="1" x14ac:dyDescent="0.25">
      <c r="A9" s="38" t="s">
        <v>110</v>
      </c>
      <c r="B9" s="66" t="s">
        <v>58</v>
      </c>
      <c r="C9" s="12">
        <v>70</v>
      </c>
      <c r="D9" s="13">
        <f t="shared" si="0"/>
        <v>3.1257719075119825E-3</v>
      </c>
      <c r="E9" s="12">
        <f>C9*12/12</f>
        <v>70</v>
      </c>
      <c r="F9" s="67">
        <f t="shared" si="1"/>
        <v>16.153846153846153</v>
      </c>
      <c r="G9"/>
      <c r="H9"/>
      <c r="I9"/>
      <c r="J9" s="59">
        <f t="shared" ref="J9:J49" si="2">F9*52</f>
        <v>840</v>
      </c>
      <c r="K9"/>
      <c r="L9"/>
      <c r="M9"/>
      <c r="N9"/>
    </row>
    <row r="10" spans="1:14" s="3" customFormat="1" x14ac:dyDescent="0.25">
      <c r="A10" s="38" t="s">
        <v>111</v>
      </c>
      <c r="B10" s="38" t="s">
        <v>58</v>
      </c>
      <c r="C10" s="12">
        <v>55</v>
      </c>
      <c r="D10" s="13">
        <f t="shared" si="0"/>
        <v>2.4559636416165579E-3</v>
      </c>
      <c r="E10" s="12">
        <f>C10*12/12</f>
        <v>55</v>
      </c>
      <c r="F10" s="67">
        <f t="shared" si="1"/>
        <v>12.692307692307692</v>
      </c>
      <c r="G10"/>
      <c r="H10"/>
      <c r="I10"/>
      <c r="J10" s="59">
        <f t="shared" si="2"/>
        <v>660</v>
      </c>
      <c r="K10"/>
      <c r="L10"/>
      <c r="M10"/>
      <c r="N10"/>
    </row>
    <row r="11" spans="1:14" x14ac:dyDescent="0.25">
      <c r="A11" s="38" t="s">
        <v>112</v>
      </c>
      <c r="B11" s="38" t="s">
        <v>63</v>
      </c>
      <c r="C11" s="12">
        <v>1000</v>
      </c>
      <c r="D11" s="13">
        <f t="shared" si="0"/>
        <v>3.72115703275236E-3</v>
      </c>
      <c r="E11" s="12">
        <f>C11/12</f>
        <v>83.333333333333329</v>
      </c>
      <c r="F11" s="67">
        <f t="shared" si="1"/>
        <v>19.23076923076923</v>
      </c>
      <c r="G11"/>
      <c r="H11"/>
      <c r="I11"/>
      <c r="J11" s="59">
        <f t="shared" si="2"/>
        <v>1000</v>
      </c>
      <c r="K11"/>
      <c r="L11"/>
      <c r="M11"/>
      <c r="N11"/>
    </row>
    <row r="12" spans="1:14" x14ac:dyDescent="0.25">
      <c r="A12" s="38" t="s">
        <v>119</v>
      </c>
      <c r="B12" s="38" t="s">
        <v>120</v>
      </c>
      <c r="C12" s="12">
        <v>800</v>
      </c>
      <c r="D12" s="13">
        <f t="shared" si="0"/>
        <v>2.9769256262018881E-3</v>
      </c>
      <c r="E12" s="12">
        <f>C12/12</f>
        <v>66.666666666666671</v>
      </c>
      <c r="F12" s="67">
        <f t="shared" si="1"/>
        <v>15.384615384615385</v>
      </c>
      <c r="G12"/>
      <c r="H12"/>
      <c r="I12"/>
      <c r="J12" s="59">
        <f t="shared" si="2"/>
        <v>800</v>
      </c>
      <c r="K12"/>
      <c r="L12"/>
      <c r="M12"/>
      <c r="N12"/>
    </row>
    <row r="13" spans="1:14" x14ac:dyDescent="0.25">
      <c r="A13" s="38" t="s">
        <v>114</v>
      </c>
      <c r="B13" s="38" t="s">
        <v>58</v>
      </c>
      <c r="C13" s="12">
        <v>1500</v>
      </c>
      <c r="D13" s="13">
        <f t="shared" si="0"/>
        <v>6.6980826589542478E-2</v>
      </c>
      <c r="E13" s="12">
        <f>C13*12/12</f>
        <v>1500</v>
      </c>
      <c r="F13" s="67">
        <f t="shared" si="1"/>
        <v>346.15384615384613</v>
      </c>
      <c r="G13"/>
      <c r="H13"/>
      <c r="I13"/>
      <c r="J13" s="59">
        <f t="shared" si="2"/>
        <v>18000</v>
      </c>
      <c r="K13"/>
      <c r="L13"/>
      <c r="M13"/>
      <c r="N13"/>
    </row>
    <row r="14" spans="1:14" x14ac:dyDescent="0.25">
      <c r="A14" s="15" t="s">
        <v>115</v>
      </c>
      <c r="B14" s="38" t="s">
        <v>30</v>
      </c>
      <c r="C14" s="12">
        <v>75</v>
      </c>
      <c r="D14" s="13">
        <f t="shared" si="0"/>
        <v>1.4512512427734204E-2</v>
      </c>
      <c r="E14" s="14">
        <f>C14*52/12</f>
        <v>325</v>
      </c>
      <c r="F14" s="67">
        <f t="shared" si="1"/>
        <v>75</v>
      </c>
      <c r="G14"/>
      <c r="H14"/>
      <c r="I14"/>
      <c r="J14" s="59">
        <f t="shared" si="2"/>
        <v>3900</v>
      </c>
      <c r="K14"/>
      <c r="L14"/>
      <c r="M14"/>
      <c r="N14"/>
    </row>
    <row r="15" spans="1:14" x14ac:dyDescent="0.25">
      <c r="A15" s="38" t="s">
        <v>116</v>
      </c>
      <c r="B15" s="38" t="s">
        <v>63</v>
      </c>
      <c r="C15" s="12">
        <v>1000</v>
      </c>
      <c r="D15" s="13">
        <f t="shared" si="0"/>
        <v>3.72115703275236E-3</v>
      </c>
      <c r="E15" s="12">
        <f>C15/12</f>
        <v>83.333333333333329</v>
      </c>
      <c r="F15" s="67">
        <f t="shared" si="1"/>
        <v>19.23076923076923</v>
      </c>
      <c r="G15"/>
      <c r="H15"/>
      <c r="I15"/>
      <c r="J15" s="59">
        <f t="shared" si="2"/>
        <v>1000</v>
      </c>
      <c r="K15"/>
      <c r="L15"/>
      <c r="M15"/>
      <c r="N15"/>
    </row>
    <row r="16" spans="1:14" x14ac:dyDescent="0.25">
      <c r="A16" s="38" t="s">
        <v>117</v>
      </c>
      <c r="B16" s="38" t="s">
        <v>63</v>
      </c>
      <c r="C16" s="12">
        <v>770</v>
      </c>
      <c r="D16" s="13">
        <f t="shared" si="0"/>
        <v>2.8652909152193174E-3</v>
      </c>
      <c r="E16" s="12">
        <f>C16/12</f>
        <v>64.166666666666671</v>
      </c>
      <c r="F16" s="67">
        <f t="shared" si="1"/>
        <v>14.807692307692308</v>
      </c>
      <c r="G16"/>
      <c r="H16"/>
      <c r="I16"/>
      <c r="J16" s="59">
        <f t="shared" si="2"/>
        <v>770</v>
      </c>
      <c r="K16"/>
      <c r="L16"/>
      <c r="M16"/>
      <c r="N16"/>
    </row>
    <row r="17" spans="1:14" x14ac:dyDescent="0.25">
      <c r="A17" s="38" t="s">
        <v>118</v>
      </c>
      <c r="B17" s="38" t="s">
        <v>63</v>
      </c>
      <c r="C17" s="12">
        <v>500</v>
      </c>
      <c r="D17" s="13">
        <f t="shared" si="0"/>
        <v>1.86057851637618E-3</v>
      </c>
      <c r="E17" s="12">
        <f>C17/12</f>
        <v>41.666666666666664</v>
      </c>
      <c r="F17" s="67">
        <f t="shared" si="1"/>
        <v>9.615384615384615</v>
      </c>
      <c r="G17"/>
      <c r="H17"/>
      <c r="I17"/>
      <c r="J17" s="59">
        <f t="shared" si="2"/>
        <v>500</v>
      </c>
      <c r="K17"/>
      <c r="L17"/>
      <c r="M17"/>
      <c r="N17"/>
    </row>
    <row r="18" spans="1:14" x14ac:dyDescent="0.25">
      <c r="A18" s="38" t="s">
        <v>131</v>
      </c>
      <c r="B18" s="38" t="s">
        <v>63</v>
      </c>
      <c r="C18" s="12">
        <v>500</v>
      </c>
      <c r="D18" s="13">
        <f t="shared" si="0"/>
        <v>1.86057851637618E-3</v>
      </c>
      <c r="E18" s="12">
        <f>C18/12</f>
        <v>41.666666666666664</v>
      </c>
      <c r="F18" s="67">
        <f t="shared" si="1"/>
        <v>9.615384615384615</v>
      </c>
      <c r="G18"/>
      <c r="H18"/>
      <c r="I18"/>
      <c r="J18" s="59">
        <f t="shared" si="2"/>
        <v>500</v>
      </c>
      <c r="K18"/>
      <c r="L18"/>
      <c r="M18"/>
      <c r="N18"/>
    </row>
    <row r="19" spans="1:14" x14ac:dyDescent="0.25">
      <c r="A19" s="38" t="s">
        <v>147</v>
      </c>
      <c r="B19" s="38" t="s">
        <v>30</v>
      </c>
      <c r="C19" s="12">
        <f>C54*0.35</f>
        <v>2047.1849999999997</v>
      </c>
      <c r="D19" s="13">
        <f t="shared" si="0"/>
        <v>0.39613063672494725</v>
      </c>
      <c r="E19" s="12">
        <f>C19*52/12</f>
        <v>8871.1349999999984</v>
      </c>
      <c r="F19" s="67">
        <f t="shared" si="1"/>
        <v>2047.1849999999997</v>
      </c>
      <c r="G19"/>
      <c r="H19"/>
      <c r="I19"/>
      <c r="J19" s="59">
        <f t="shared" si="2"/>
        <v>106453.61999999998</v>
      </c>
      <c r="K19"/>
      <c r="L19"/>
      <c r="M19"/>
      <c r="N19"/>
    </row>
    <row r="20" spans="1:14" x14ac:dyDescent="0.25">
      <c r="A20" s="38" t="s">
        <v>93</v>
      </c>
      <c r="B20" s="38" t="s">
        <v>128</v>
      </c>
      <c r="C20" s="12">
        <v>2500</v>
      </c>
      <c r="D20" s="13">
        <f t="shared" ref="D20:D21" si="3">E20/$E$49</f>
        <v>3.7211570327523605E-2</v>
      </c>
      <c r="E20" s="12">
        <f>C20*4/12</f>
        <v>833.33333333333337</v>
      </c>
      <c r="F20" s="67">
        <f t="shared" ref="F20:F21" si="4">(E20*12)/52</f>
        <v>192.30769230769232</v>
      </c>
      <c r="G20"/>
      <c r="H20"/>
      <c r="I20"/>
      <c r="J20" s="59">
        <f t="shared" ref="J20:J21" si="5">F20*52</f>
        <v>10000</v>
      </c>
      <c r="K20"/>
      <c r="L20"/>
      <c r="M20"/>
      <c r="N20"/>
    </row>
    <row r="21" spans="1:14" x14ac:dyDescent="0.25">
      <c r="A21" s="38"/>
      <c r="B21" s="38" t="s">
        <v>11</v>
      </c>
      <c r="C21" s="12"/>
      <c r="D21" s="13">
        <f t="shared" si="3"/>
        <v>0</v>
      </c>
      <c r="E21" s="12">
        <f t="shared" ref="E21" si="6">C21*12/12</f>
        <v>0</v>
      </c>
      <c r="F21" s="67">
        <f t="shared" si="4"/>
        <v>0</v>
      </c>
      <c r="G21"/>
      <c r="H21"/>
      <c r="I21"/>
      <c r="J21" s="59">
        <f t="shared" si="5"/>
        <v>0</v>
      </c>
      <c r="K21"/>
      <c r="L21"/>
      <c r="M21"/>
      <c r="N21"/>
    </row>
    <row r="22" spans="1:14" x14ac:dyDescent="0.25">
      <c r="A22" s="38"/>
      <c r="B22" s="38" t="s">
        <v>11</v>
      </c>
      <c r="C22" s="12"/>
      <c r="D22" s="13">
        <f t="shared" si="0"/>
        <v>0</v>
      </c>
      <c r="E22" s="12">
        <f>C22*12/12</f>
        <v>0</v>
      </c>
      <c r="F22" s="67">
        <f t="shared" si="1"/>
        <v>0</v>
      </c>
      <c r="G22"/>
      <c r="H22"/>
      <c r="I22"/>
      <c r="J22" s="59">
        <f t="shared" si="2"/>
        <v>0</v>
      </c>
      <c r="K22"/>
      <c r="L22"/>
      <c r="M22"/>
      <c r="N22"/>
    </row>
    <row r="23" spans="1:14" x14ac:dyDescent="0.25">
      <c r="A23" s="38"/>
      <c r="B23" s="38" t="s">
        <v>63</v>
      </c>
      <c r="C23" s="12"/>
      <c r="D23" s="13">
        <f t="shared" si="0"/>
        <v>0</v>
      </c>
      <c r="E23" s="12">
        <f>C23/12</f>
        <v>0</v>
      </c>
      <c r="F23" s="67">
        <f t="shared" si="1"/>
        <v>0</v>
      </c>
      <c r="G23"/>
      <c r="H23"/>
      <c r="I23"/>
      <c r="J23" s="59">
        <f t="shared" si="2"/>
        <v>0</v>
      </c>
      <c r="K23"/>
      <c r="L23"/>
      <c r="M23"/>
      <c r="N23"/>
    </row>
    <row r="24" spans="1:14" x14ac:dyDescent="0.25">
      <c r="A24" s="68" t="s">
        <v>121</v>
      </c>
      <c r="B24" s="68"/>
      <c r="C24" s="69"/>
      <c r="D24" s="70"/>
      <c r="E24" s="69"/>
      <c r="F24" s="73"/>
      <c r="G24" s="71"/>
      <c r="H24" s="72" t="s">
        <v>123</v>
      </c>
      <c r="I24" s="74">
        <f>SUM(F25:F47)</f>
        <v>2332.8846153846152</v>
      </c>
      <c r="J24" s="81">
        <f>I24*52</f>
        <v>121310</v>
      </c>
      <c r="K24"/>
      <c r="L24"/>
      <c r="M24"/>
      <c r="N24"/>
    </row>
    <row r="25" spans="1:14" x14ac:dyDescent="0.25">
      <c r="A25" s="38" t="s">
        <v>124</v>
      </c>
      <c r="B25" s="38" t="s">
        <v>30</v>
      </c>
      <c r="C25" s="12">
        <v>850</v>
      </c>
      <c r="D25" s="13">
        <f t="shared" ref="D25:D47" si="7">E25/$E$49</f>
        <v>0.16447514084765433</v>
      </c>
      <c r="E25" s="14">
        <f>C25*52/12</f>
        <v>3683.3333333333335</v>
      </c>
      <c r="F25" s="67">
        <f t="shared" si="1"/>
        <v>850</v>
      </c>
      <c r="G25"/>
      <c r="J25" s="59">
        <f t="shared" si="2"/>
        <v>44200</v>
      </c>
      <c r="K25"/>
      <c r="L25"/>
      <c r="M25"/>
      <c r="N25"/>
    </row>
    <row r="26" spans="1:14" x14ac:dyDescent="0.25">
      <c r="A26" s="38" t="s">
        <v>125</v>
      </c>
      <c r="B26" s="38" t="s">
        <v>30</v>
      </c>
      <c r="C26" s="12">
        <v>150</v>
      </c>
      <c r="D26" s="13">
        <f t="shared" si="7"/>
        <v>2.9025024855468408E-2</v>
      </c>
      <c r="E26" s="14">
        <f>C26*52/12</f>
        <v>650</v>
      </c>
      <c r="F26" s="67">
        <f t="shared" si="1"/>
        <v>150</v>
      </c>
      <c r="G26"/>
      <c r="J26" s="59">
        <f t="shared" si="2"/>
        <v>7800</v>
      </c>
      <c r="K26"/>
      <c r="L26"/>
      <c r="M26"/>
      <c r="N26"/>
    </row>
    <row r="27" spans="1:14" x14ac:dyDescent="0.25">
      <c r="A27" s="38" t="s">
        <v>126</v>
      </c>
      <c r="B27" s="10" t="s">
        <v>12</v>
      </c>
      <c r="C27" s="12">
        <v>1000</v>
      </c>
      <c r="D27" s="13">
        <f t="shared" si="7"/>
        <v>3.72115703275236E-3</v>
      </c>
      <c r="E27" s="12">
        <f>C27/12</f>
        <v>83.333333333333329</v>
      </c>
      <c r="F27" s="67">
        <f t="shared" si="1"/>
        <v>19.23076923076923</v>
      </c>
      <c r="G27"/>
      <c r="H27"/>
      <c r="I27" s="44" t="s">
        <v>142</v>
      </c>
      <c r="J27" s="59">
        <f t="shared" si="2"/>
        <v>1000</v>
      </c>
      <c r="K27"/>
      <c r="L27"/>
      <c r="M27"/>
      <c r="N27"/>
    </row>
    <row r="28" spans="1:14" x14ac:dyDescent="0.25">
      <c r="A28" s="38" t="s">
        <v>7</v>
      </c>
      <c r="B28" s="38" t="s">
        <v>30</v>
      </c>
      <c r="C28" s="12">
        <v>50</v>
      </c>
      <c r="D28" s="13">
        <f t="shared" si="7"/>
        <v>9.6750082851561354E-3</v>
      </c>
      <c r="E28" s="14">
        <f>C28*52/12</f>
        <v>216.66666666666666</v>
      </c>
      <c r="F28" s="67">
        <f t="shared" si="1"/>
        <v>50</v>
      </c>
      <c r="G28"/>
      <c r="H28" t="s">
        <v>143</v>
      </c>
      <c r="I28" s="78">
        <f>SUM(F27+F34+F25)</f>
        <v>926.92307692307691</v>
      </c>
      <c r="J28" s="59">
        <f t="shared" si="2"/>
        <v>2600</v>
      </c>
      <c r="K28"/>
      <c r="L28"/>
      <c r="M28"/>
      <c r="N28"/>
    </row>
    <row r="29" spans="1:14" x14ac:dyDescent="0.25">
      <c r="A29" s="38" t="s">
        <v>127</v>
      </c>
      <c r="B29" s="38" t="s">
        <v>128</v>
      </c>
      <c r="C29" s="12">
        <v>250</v>
      </c>
      <c r="D29" s="13">
        <f t="shared" si="7"/>
        <v>3.72115703275236E-3</v>
      </c>
      <c r="E29" s="12">
        <f>C29*4/12</f>
        <v>83.333333333333329</v>
      </c>
      <c r="F29" s="67">
        <f t="shared" si="1"/>
        <v>19.23076923076923</v>
      </c>
      <c r="G29"/>
      <c r="H29" t="s">
        <v>144</v>
      </c>
      <c r="I29" s="78">
        <f>SUM(F26+F28+F29+F30+F31+F32+F33+F35+F36+F37+F38+F39+F40+F42+F43+F44+F46+F41)</f>
        <v>1405.9615384615386</v>
      </c>
      <c r="J29" s="59">
        <f t="shared" si="2"/>
        <v>1000</v>
      </c>
      <c r="K29"/>
      <c r="L29"/>
      <c r="M29"/>
      <c r="N29"/>
    </row>
    <row r="30" spans="1:14" x14ac:dyDescent="0.25">
      <c r="A30" s="38" t="s">
        <v>23</v>
      </c>
      <c r="B30" s="38" t="s">
        <v>128</v>
      </c>
      <c r="C30" s="12">
        <v>150</v>
      </c>
      <c r="D30" s="13">
        <f t="shared" si="7"/>
        <v>2.2326942196514159E-3</v>
      </c>
      <c r="E30" s="12">
        <f>C30*4/12</f>
        <v>50</v>
      </c>
      <c r="F30" s="67">
        <f t="shared" si="1"/>
        <v>11.538461538461538</v>
      </c>
      <c r="G30"/>
      <c r="H30" s="79" t="s">
        <v>146</v>
      </c>
      <c r="I30" s="80">
        <f>SUM(I28:I29)</f>
        <v>2332.8846153846152</v>
      </c>
      <c r="J30" s="59">
        <f t="shared" si="2"/>
        <v>600</v>
      </c>
      <c r="K30"/>
      <c r="L30"/>
      <c r="M30"/>
      <c r="N30"/>
    </row>
    <row r="31" spans="1:14" x14ac:dyDescent="0.25">
      <c r="A31" s="38" t="s">
        <v>129</v>
      </c>
      <c r="B31" s="38" t="s">
        <v>128</v>
      </c>
      <c r="C31" s="12">
        <v>750</v>
      </c>
      <c r="D31" s="13">
        <f t="shared" si="7"/>
        <v>1.1163471098257081E-2</v>
      </c>
      <c r="E31" s="12">
        <f>C31*4/12</f>
        <v>250</v>
      </c>
      <c r="F31" s="67">
        <f t="shared" si="1"/>
        <v>57.692307692307693</v>
      </c>
      <c r="G31"/>
      <c r="H31"/>
      <c r="I31"/>
      <c r="J31" s="59">
        <f t="shared" si="2"/>
        <v>3000</v>
      </c>
      <c r="K31"/>
      <c r="L31"/>
      <c r="M31"/>
      <c r="N31"/>
    </row>
    <row r="32" spans="1:14" x14ac:dyDescent="0.25">
      <c r="A32" s="38" t="s">
        <v>145</v>
      </c>
      <c r="B32" s="38" t="s">
        <v>58</v>
      </c>
      <c r="C32" s="12">
        <v>30</v>
      </c>
      <c r="D32" s="13">
        <f t="shared" si="7"/>
        <v>1.3396165317908497E-3</v>
      </c>
      <c r="E32" s="12">
        <f>C32*12/12</f>
        <v>30</v>
      </c>
      <c r="F32" s="67">
        <f t="shared" si="1"/>
        <v>6.9230769230769234</v>
      </c>
      <c r="G32"/>
      <c r="H32"/>
      <c r="I32"/>
      <c r="J32" s="59">
        <f t="shared" si="2"/>
        <v>360</v>
      </c>
      <c r="K32"/>
      <c r="L32"/>
      <c r="M32"/>
      <c r="N32"/>
    </row>
    <row r="33" spans="1:14" x14ac:dyDescent="0.25">
      <c r="A33" s="38" t="s">
        <v>130</v>
      </c>
      <c r="B33" s="38" t="s">
        <v>58</v>
      </c>
      <c r="C33" s="12">
        <v>275</v>
      </c>
      <c r="D33" s="13">
        <f t="shared" si="7"/>
        <v>1.2279818208082788E-2</v>
      </c>
      <c r="E33" s="12">
        <f>C33*12/12</f>
        <v>275</v>
      </c>
      <c r="F33" s="67">
        <f t="shared" si="1"/>
        <v>63.46153846153846</v>
      </c>
      <c r="G33"/>
      <c r="H33"/>
      <c r="I33"/>
      <c r="J33" s="59">
        <f t="shared" si="2"/>
        <v>3300</v>
      </c>
      <c r="K33"/>
      <c r="L33"/>
      <c r="M33"/>
      <c r="N33"/>
    </row>
    <row r="34" spans="1:14" x14ac:dyDescent="0.25">
      <c r="A34" s="38" t="s">
        <v>99</v>
      </c>
      <c r="B34" s="38" t="s">
        <v>11</v>
      </c>
      <c r="C34" s="12">
        <v>250</v>
      </c>
      <c r="D34" s="13">
        <f t="shared" si="7"/>
        <v>1.1163471098257081E-2</v>
      </c>
      <c r="E34" s="12">
        <f>C34*12/12</f>
        <v>250</v>
      </c>
      <c r="F34" s="67">
        <f t="shared" si="1"/>
        <v>57.692307692307693</v>
      </c>
      <c r="G34"/>
      <c r="H34"/>
      <c r="I34"/>
      <c r="J34" s="59">
        <f t="shared" si="2"/>
        <v>3000</v>
      </c>
      <c r="K34"/>
      <c r="L34"/>
      <c r="M34"/>
      <c r="N34"/>
    </row>
    <row r="35" spans="1:14" x14ac:dyDescent="0.25">
      <c r="A35" s="38" t="s">
        <v>135</v>
      </c>
      <c r="B35" s="38" t="s">
        <v>30</v>
      </c>
      <c r="C35" s="12">
        <v>175</v>
      </c>
      <c r="D35" s="13">
        <f t="shared" si="7"/>
        <v>3.3862528998046482E-2</v>
      </c>
      <c r="E35" s="14">
        <f>C35*52/12</f>
        <v>758.33333333333337</v>
      </c>
      <c r="F35" s="67">
        <f t="shared" si="1"/>
        <v>175</v>
      </c>
      <c r="G35"/>
      <c r="H35"/>
      <c r="I35"/>
      <c r="J35" s="59">
        <f t="shared" si="2"/>
        <v>9100</v>
      </c>
      <c r="K35"/>
      <c r="L35"/>
      <c r="M35"/>
      <c r="N35"/>
    </row>
    <row r="36" spans="1:14" x14ac:dyDescent="0.25">
      <c r="A36" s="38" t="s">
        <v>132</v>
      </c>
      <c r="B36" s="38" t="s">
        <v>63</v>
      </c>
      <c r="C36" s="12">
        <v>700</v>
      </c>
      <c r="D36" s="13">
        <f t="shared" si="7"/>
        <v>2.6048099229266522E-3</v>
      </c>
      <c r="E36" s="12">
        <f>C36/12</f>
        <v>58.333333333333336</v>
      </c>
      <c r="F36" s="67">
        <f t="shared" si="1"/>
        <v>13.461538461538462</v>
      </c>
      <c r="G36"/>
      <c r="H36"/>
      <c r="I36"/>
      <c r="J36" s="59">
        <f t="shared" si="2"/>
        <v>700</v>
      </c>
      <c r="K36"/>
      <c r="L36"/>
      <c r="M36"/>
      <c r="N36"/>
    </row>
    <row r="37" spans="1:14" x14ac:dyDescent="0.25">
      <c r="A37" s="38" t="s">
        <v>133</v>
      </c>
      <c r="B37" s="10" t="s">
        <v>14</v>
      </c>
      <c r="C37" s="12">
        <v>500</v>
      </c>
      <c r="D37" s="13">
        <f t="shared" si="7"/>
        <v>1.86057851637618E-3</v>
      </c>
      <c r="E37" s="12">
        <f>C37/12</f>
        <v>41.666666666666664</v>
      </c>
      <c r="F37" s="67">
        <f t="shared" si="1"/>
        <v>9.615384615384615</v>
      </c>
      <c r="G37"/>
      <c r="H37"/>
      <c r="I37"/>
      <c r="J37" s="59">
        <f t="shared" si="2"/>
        <v>500</v>
      </c>
      <c r="K37"/>
      <c r="L37"/>
      <c r="M37"/>
      <c r="N37"/>
    </row>
    <row r="38" spans="1:14" x14ac:dyDescent="0.25">
      <c r="A38" s="38" t="s">
        <v>134</v>
      </c>
      <c r="B38" s="38" t="s">
        <v>63</v>
      </c>
      <c r="C38" s="12">
        <v>400</v>
      </c>
      <c r="D38" s="13">
        <f t="shared" si="7"/>
        <v>1.4884628131009441E-3</v>
      </c>
      <c r="E38" s="12">
        <f>C38/12</f>
        <v>33.333333333333336</v>
      </c>
      <c r="F38" s="67">
        <f t="shared" si="1"/>
        <v>7.6923076923076925</v>
      </c>
      <c r="G38"/>
      <c r="H38"/>
      <c r="I38"/>
      <c r="J38" s="59">
        <f t="shared" si="2"/>
        <v>400</v>
      </c>
      <c r="K38"/>
      <c r="L38"/>
      <c r="M38"/>
      <c r="N38"/>
    </row>
    <row r="39" spans="1:14" x14ac:dyDescent="0.25">
      <c r="A39" s="38" t="s">
        <v>137</v>
      </c>
      <c r="B39" s="38" t="s">
        <v>63</v>
      </c>
      <c r="C39" s="12">
        <v>700</v>
      </c>
      <c r="D39" s="13">
        <f t="shared" si="7"/>
        <v>2.6048099229266522E-3</v>
      </c>
      <c r="E39" s="12">
        <f>C39/12</f>
        <v>58.333333333333336</v>
      </c>
      <c r="F39" s="67">
        <f t="shared" si="1"/>
        <v>13.461538461538462</v>
      </c>
      <c r="G39"/>
      <c r="H39"/>
      <c r="I39"/>
      <c r="J39" s="59">
        <f t="shared" si="2"/>
        <v>700</v>
      </c>
      <c r="K39"/>
      <c r="L39"/>
      <c r="M39"/>
      <c r="N39"/>
    </row>
    <row r="40" spans="1:14" x14ac:dyDescent="0.25">
      <c r="A40" s="38" t="s">
        <v>136</v>
      </c>
      <c r="B40" s="38" t="s">
        <v>63</v>
      </c>
      <c r="C40" s="12">
        <v>800</v>
      </c>
      <c r="D40" s="13">
        <f t="shared" si="7"/>
        <v>2.9769256262018881E-3</v>
      </c>
      <c r="E40" s="12">
        <f>C40/12</f>
        <v>66.666666666666671</v>
      </c>
      <c r="F40" s="67">
        <f t="shared" si="1"/>
        <v>15.384615384615385</v>
      </c>
      <c r="G40"/>
      <c r="H40"/>
      <c r="I40"/>
      <c r="J40" s="59">
        <f t="shared" si="2"/>
        <v>800</v>
      </c>
      <c r="K40"/>
      <c r="L40"/>
      <c r="M40"/>
      <c r="N40"/>
    </row>
    <row r="41" spans="1:14" x14ac:dyDescent="0.25">
      <c r="A41" s="38" t="s">
        <v>138</v>
      </c>
      <c r="B41" s="38" t="s">
        <v>58</v>
      </c>
      <c r="C41" s="12">
        <v>750</v>
      </c>
      <c r="D41" s="13">
        <f t="shared" si="7"/>
        <v>3.3490413294771239E-2</v>
      </c>
      <c r="E41" s="12">
        <f>C41*12/12</f>
        <v>750</v>
      </c>
      <c r="F41" s="67">
        <f t="shared" si="1"/>
        <v>173.07692307692307</v>
      </c>
      <c r="G41"/>
      <c r="H41"/>
      <c r="I41"/>
      <c r="J41" s="59">
        <f t="shared" si="2"/>
        <v>9000</v>
      </c>
      <c r="K41"/>
      <c r="L41"/>
      <c r="M41"/>
      <c r="N41"/>
    </row>
    <row r="42" spans="1:14" x14ac:dyDescent="0.25">
      <c r="A42" s="38" t="s">
        <v>139</v>
      </c>
      <c r="B42" s="38" t="s">
        <v>63</v>
      </c>
      <c r="C42" s="12">
        <v>1250</v>
      </c>
      <c r="D42" s="13">
        <f t="shared" si="7"/>
        <v>4.6514462909404506E-3</v>
      </c>
      <c r="E42" s="12">
        <f>C42/12</f>
        <v>104.16666666666667</v>
      </c>
      <c r="F42" s="67">
        <f t="shared" si="1"/>
        <v>24.03846153846154</v>
      </c>
      <c r="G42"/>
      <c r="H42"/>
      <c r="I42"/>
      <c r="J42" s="59">
        <f t="shared" si="2"/>
        <v>1250</v>
      </c>
      <c r="K42"/>
      <c r="L42"/>
      <c r="M42"/>
      <c r="N42"/>
    </row>
    <row r="43" spans="1:14" x14ac:dyDescent="0.25">
      <c r="A43" s="38" t="s">
        <v>140</v>
      </c>
      <c r="B43" s="38" t="s">
        <v>6</v>
      </c>
      <c r="C43" s="12">
        <v>400</v>
      </c>
      <c r="D43" s="13">
        <f t="shared" si="7"/>
        <v>7.7400066281249083E-2</v>
      </c>
      <c r="E43" s="14">
        <f>C43*52/12</f>
        <v>1733.3333333333333</v>
      </c>
      <c r="F43" s="67">
        <f>(E43*12)/52</f>
        <v>400</v>
      </c>
      <c r="G43"/>
      <c r="H43"/>
      <c r="I43"/>
      <c r="J43" s="59">
        <f t="shared" si="2"/>
        <v>20800</v>
      </c>
      <c r="K43"/>
      <c r="L43"/>
      <c r="M43"/>
      <c r="N43"/>
    </row>
    <row r="44" spans="1:14" x14ac:dyDescent="0.25">
      <c r="A44" s="38" t="s">
        <v>141</v>
      </c>
      <c r="B44" s="38" t="s">
        <v>6</v>
      </c>
      <c r="C44" s="12">
        <v>100</v>
      </c>
      <c r="D44" s="13">
        <f t="shared" si="7"/>
        <v>1.9350016570312271E-2</v>
      </c>
      <c r="E44" s="14">
        <f>C44*52/12</f>
        <v>433.33333333333331</v>
      </c>
      <c r="F44" s="67">
        <f t="shared" si="1"/>
        <v>100</v>
      </c>
      <c r="G44"/>
      <c r="H44"/>
      <c r="I44"/>
      <c r="J44" s="59">
        <f t="shared" si="2"/>
        <v>5200</v>
      </c>
      <c r="K44"/>
      <c r="L44"/>
      <c r="M44"/>
      <c r="N44"/>
    </row>
    <row r="45" spans="1:14" x14ac:dyDescent="0.25">
      <c r="A45" s="10"/>
      <c r="B45" s="10" t="s">
        <v>11</v>
      </c>
      <c r="C45" s="12"/>
      <c r="D45" s="13">
        <f t="shared" si="7"/>
        <v>0</v>
      </c>
      <c r="E45" s="12">
        <f>C45*12/12</f>
        <v>0</v>
      </c>
      <c r="F45" s="67">
        <f t="shared" si="1"/>
        <v>0</v>
      </c>
      <c r="G45"/>
      <c r="H45"/>
      <c r="I45"/>
      <c r="J45" s="59">
        <f t="shared" si="2"/>
        <v>0</v>
      </c>
      <c r="K45"/>
      <c r="L45"/>
      <c r="M45"/>
      <c r="N45"/>
    </row>
    <row r="46" spans="1:14" x14ac:dyDescent="0.25">
      <c r="A46" s="38" t="s">
        <v>93</v>
      </c>
      <c r="B46" s="38" t="s">
        <v>58</v>
      </c>
      <c r="C46" s="12">
        <v>500</v>
      </c>
      <c r="D46" s="13">
        <f t="shared" si="7"/>
        <v>2.2326942196514162E-2</v>
      </c>
      <c r="E46" s="12">
        <f>C46*12/12</f>
        <v>500</v>
      </c>
      <c r="F46" s="67">
        <f t="shared" si="1"/>
        <v>115.38461538461539</v>
      </c>
      <c r="G46"/>
      <c r="H46"/>
      <c r="I46"/>
      <c r="J46" s="59">
        <f t="shared" si="2"/>
        <v>6000</v>
      </c>
      <c r="K46"/>
      <c r="L46"/>
      <c r="M46"/>
      <c r="N46"/>
    </row>
    <row r="47" spans="1:14" x14ac:dyDescent="0.25">
      <c r="A47" s="38"/>
      <c r="B47" s="38" t="s">
        <v>94</v>
      </c>
      <c r="C47" s="12"/>
      <c r="D47" s="13">
        <f t="shared" si="7"/>
        <v>0</v>
      </c>
      <c r="E47" s="12">
        <f>C47*12/12</f>
        <v>0</v>
      </c>
      <c r="F47" s="67">
        <f t="shared" si="1"/>
        <v>0</v>
      </c>
      <c r="G47"/>
      <c r="H47"/>
      <c r="I47"/>
      <c r="J47" s="59">
        <f t="shared" si="2"/>
        <v>0</v>
      </c>
      <c r="K47"/>
      <c r="L47"/>
      <c r="M47"/>
      <c r="N47"/>
    </row>
    <row r="48" spans="1:14" x14ac:dyDescent="0.25">
      <c r="A48" s="10"/>
      <c r="B48" s="10"/>
      <c r="C48" s="12"/>
      <c r="D48" s="13"/>
      <c r="E48" s="12"/>
      <c r="F48" s="67" t="s">
        <v>84</v>
      </c>
      <c r="G48"/>
      <c r="H48"/>
      <c r="I48"/>
      <c r="J48" s="59"/>
      <c r="K48"/>
      <c r="L48"/>
      <c r="M48"/>
      <c r="N48"/>
    </row>
    <row r="49" spans="1:14" x14ac:dyDescent="0.25">
      <c r="A49" s="94" t="s">
        <v>20</v>
      </c>
      <c r="B49" s="95"/>
      <c r="C49" s="96"/>
      <c r="D49" s="84">
        <f>SUM(D7:D48)</f>
        <v>1.0000000000000004</v>
      </c>
      <c r="E49" s="83">
        <f>SUM(E7:E48)</f>
        <v>22394.468333333327</v>
      </c>
      <c r="F49" s="85">
        <f>(E49*12)/52</f>
        <v>5167.95423076923</v>
      </c>
      <c r="G49" s="86"/>
      <c r="H49" s="86"/>
      <c r="I49" s="86"/>
      <c r="J49" s="87">
        <f t="shared" si="2"/>
        <v>268733.61999999994</v>
      </c>
      <c r="K49"/>
      <c r="L49"/>
      <c r="M49"/>
      <c r="N49"/>
    </row>
    <row r="50" spans="1:14" x14ac:dyDescent="0.25">
      <c r="A50" s="4"/>
      <c r="B50" s="4"/>
      <c r="C50" s="5"/>
      <c r="D50" s="5"/>
      <c r="E50" s="5"/>
      <c r="G50"/>
      <c r="H50"/>
      <c r="I50"/>
      <c r="J50" s="59"/>
      <c r="K50"/>
      <c r="L50"/>
      <c r="M50"/>
      <c r="N50"/>
    </row>
    <row r="51" spans="1:14" x14ac:dyDescent="0.25">
      <c r="A51" s="4"/>
      <c r="B51" s="4"/>
      <c r="C51" s="5"/>
      <c r="D51" s="5"/>
      <c r="E51" s="5"/>
      <c r="G51"/>
      <c r="H51"/>
      <c r="I51"/>
      <c r="J51" s="59"/>
      <c r="K51"/>
      <c r="L51"/>
      <c r="M51"/>
      <c r="N51"/>
    </row>
    <row r="52" spans="1:14" ht="15.6" x14ac:dyDescent="0.3">
      <c r="A52" s="31" t="s">
        <v>39</v>
      </c>
      <c r="B52" s="28"/>
      <c r="C52" s="29"/>
      <c r="D52" s="29"/>
      <c r="E52" s="29"/>
      <c r="G52"/>
      <c r="H52" s="50" t="s">
        <v>78</v>
      </c>
      <c r="I52"/>
      <c r="J52" s="59" t="s">
        <v>96</v>
      </c>
      <c r="K52"/>
      <c r="L52" s="44" t="s">
        <v>81</v>
      </c>
      <c r="M52" s="44" t="s">
        <v>79</v>
      </c>
      <c r="N52" s="44" t="s">
        <v>80</v>
      </c>
    </row>
    <row r="53" spans="1:14" x14ac:dyDescent="0.25">
      <c r="A53" s="35" t="s">
        <v>1</v>
      </c>
      <c r="B53" s="36" t="s">
        <v>2</v>
      </c>
      <c r="C53" s="37" t="s">
        <v>3</v>
      </c>
      <c r="D53" s="37"/>
      <c r="E53" s="37" t="s">
        <v>4</v>
      </c>
      <c r="G53"/>
      <c r="H53" s="50"/>
      <c r="I53"/>
      <c r="J53" s="59"/>
      <c r="K53"/>
      <c r="L53"/>
      <c r="M53"/>
      <c r="N53"/>
    </row>
    <row r="54" spans="1:14" x14ac:dyDescent="0.25">
      <c r="A54" s="39" t="s">
        <v>148</v>
      </c>
      <c r="B54" s="39" t="s">
        <v>30</v>
      </c>
      <c r="C54" s="25">
        <f>work!G5</f>
        <v>5849.0999999999995</v>
      </c>
      <c r="D54" s="26">
        <f>E54/$E$66</f>
        <v>0.70543633790124405</v>
      </c>
      <c r="E54" s="27">
        <f>C54*50/12</f>
        <v>24371.25</v>
      </c>
      <c r="F54" s="59">
        <f t="shared" ref="F54:F63" si="8">(E54*12)/52</f>
        <v>5624.1346153846152</v>
      </c>
      <c r="G54"/>
      <c r="H54" s="51">
        <f>C54*50</f>
        <v>292455</v>
      </c>
      <c r="I54"/>
      <c r="J54" s="59">
        <f>((H54+H55)-J7)*0.3</f>
        <v>70509.414000000004</v>
      </c>
      <c r="K54"/>
      <c r="L54" s="45">
        <f>((SUM(E54:E56))*12)/52</f>
        <v>7540.6730769230771</v>
      </c>
      <c r="M54" s="45">
        <f>L54*52/12</f>
        <v>32676.25</v>
      </c>
      <c r="N54" s="45">
        <f>M54*12</f>
        <v>392115</v>
      </c>
    </row>
    <row r="55" spans="1:14" x14ac:dyDescent="0.25">
      <c r="A55" s="38" t="s">
        <v>149</v>
      </c>
      <c r="B55" s="39" t="s">
        <v>58</v>
      </c>
      <c r="C55" s="25">
        <v>7500</v>
      </c>
      <c r="D55" s="26">
        <f>E55/$E$66</f>
        <v>0.2170907333132002</v>
      </c>
      <c r="E55" s="27">
        <f>C55*12/12</f>
        <v>7500</v>
      </c>
      <c r="F55" s="59">
        <f t="shared" si="8"/>
        <v>1730.7692307692307</v>
      </c>
      <c r="G55"/>
      <c r="H55" s="51">
        <f>C55*12</f>
        <v>90000</v>
      </c>
      <c r="I55"/>
      <c r="J55" s="59"/>
      <c r="K55"/>
      <c r="L55" s="45"/>
      <c r="M55" s="45"/>
      <c r="N55" s="45"/>
    </row>
    <row r="56" spans="1:14" x14ac:dyDescent="0.25">
      <c r="A56" s="38" t="s">
        <v>65</v>
      </c>
      <c r="B56" s="38" t="s">
        <v>58</v>
      </c>
      <c r="C56" s="12">
        <f>work!F14</f>
        <v>805</v>
      </c>
      <c r="D56" s="13">
        <f t="shared" ref="D56:D65" si="9">E56/$E$66</f>
        <v>2.3301072042283488E-2</v>
      </c>
      <c r="E56" s="12">
        <f>C56*12/12</f>
        <v>805</v>
      </c>
      <c r="F56" s="59">
        <f t="shared" si="8"/>
        <v>185.76923076923077</v>
      </c>
      <c r="G56"/>
      <c r="H56" s="51">
        <f>C56*12</f>
        <v>9660</v>
      </c>
      <c r="I56"/>
      <c r="J56" s="59">
        <f>((H56*30%)+H56)*0.3</f>
        <v>3767.3999999999996</v>
      </c>
      <c r="K56"/>
      <c r="L56" s="45"/>
      <c r="M56" s="45"/>
      <c r="N56" s="45"/>
    </row>
    <row r="57" spans="1:14" x14ac:dyDescent="0.25">
      <c r="A57" s="38" t="s">
        <v>66</v>
      </c>
      <c r="B57" s="10" t="s">
        <v>30</v>
      </c>
      <c r="C57" s="12">
        <v>328.35</v>
      </c>
      <c r="D57" s="13">
        <f t="shared" si="9"/>
        <v>4.1185006652624923E-2</v>
      </c>
      <c r="E57" s="12">
        <f>C57*52/12</f>
        <v>1422.8500000000001</v>
      </c>
      <c r="F57" s="59">
        <f t="shared" si="8"/>
        <v>328.35</v>
      </c>
      <c r="G57"/>
      <c r="H57" s="51">
        <f t="shared" ref="H57:H61" si="10">C57*52</f>
        <v>17074.2</v>
      </c>
      <c r="I57"/>
      <c r="J57" s="59">
        <f>((H57*30%)+H57)*0.3</f>
        <v>6658.9379999999992</v>
      </c>
      <c r="K57"/>
      <c r="L57" s="45"/>
      <c r="M57" s="45"/>
      <c r="N57" s="45"/>
    </row>
    <row r="58" spans="1:14" x14ac:dyDescent="0.25">
      <c r="A58" s="38" t="s">
        <v>37</v>
      </c>
      <c r="B58" s="10" t="s">
        <v>11</v>
      </c>
      <c r="C58" s="12"/>
      <c r="D58" s="13">
        <f t="shared" si="9"/>
        <v>0</v>
      </c>
      <c r="E58" s="12">
        <f>C58*1</f>
        <v>0</v>
      </c>
      <c r="F58" s="59">
        <f t="shared" si="8"/>
        <v>0</v>
      </c>
      <c r="G58"/>
      <c r="H58" s="51">
        <f t="shared" si="10"/>
        <v>0</v>
      </c>
      <c r="I58"/>
      <c r="J58" s="59"/>
      <c r="K58"/>
      <c r="L58" s="45"/>
      <c r="M58" s="45"/>
      <c r="N58" s="45"/>
    </row>
    <row r="59" spans="1:14" x14ac:dyDescent="0.25">
      <c r="A59" s="38" t="s">
        <v>38</v>
      </c>
      <c r="B59" s="10" t="s">
        <v>31</v>
      </c>
      <c r="C59" s="12"/>
      <c r="D59" s="13">
        <f t="shared" si="9"/>
        <v>0</v>
      </c>
      <c r="E59" s="12">
        <f>C59*26/12</f>
        <v>0</v>
      </c>
      <c r="F59" s="59">
        <f t="shared" si="8"/>
        <v>0</v>
      </c>
      <c r="G59"/>
      <c r="H59" s="51">
        <f t="shared" si="10"/>
        <v>0</v>
      </c>
      <c r="I59"/>
      <c r="J59" s="59"/>
      <c r="K59"/>
      <c r="L59" s="45"/>
      <c r="M59" s="45"/>
      <c r="N59" s="45"/>
    </row>
    <row r="60" spans="1:14" x14ac:dyDescent="0.25">
      <c r="A60" s="10" t="s">
        <v>35</v>
      </c>
      <c r="B60" s="10" t="s">
        <v>31</v>
      </c>
      <c r="C60" s="12"/>
      <c r="D60" s="13">
        <f t="shared" si="9"/>
        <v>0</v>
      </c>
      <c r="E60" s="12">
        <f>C60*26/12</f>
        <v>0</v>
      </c>
      <c r="F60" s="59">
        <f t="shared" si="8"/>
        <v>0</v>
      </c>
      <c r="G60"/>
      <c r="H60" s="51">
        <f t="shared" si="10"/>
        <v>0</v>
      </c>
      <c r="I60"/>
      <c r="J60" s="59"/>
      <c r="K60"/>
      <c r="L60" s="45"/>
      <c r="M60" s="45"/>
      <c r="N60"/>
    </row>
    <row r="61" spans="1:14" x14ac:dyDescent="0.25">
      <c r="A61" s="10" t="s">
        <v>32</v>
      </c>
      <c r="B61" s="10" t="s">
        <v>31</v>
      </c>
      <c r="C61" s="12"/>
      <c r="D61" s="13">
        <f t="shared" si="9"/>
        <v>0</v>
      </c>
      <c r="E61" s="12">
        <f>C61*26/12</f>
        <v>0</v>
      </c>
      <c r="F61" s="59">
        <f t="shared" si="8"/>
        <v>0</v>
      </c>
      <c r="G61"/>
      <c r="H61" s="51">
        <f t="shared" si="10"/>
        <v>0</v>
      </c>
      <c r="I61"/>
      <c r="J61" s="59"/>
      <c r="K61"/>
      <c r="L61" s="45"/>
      <c r="M61" s="45"/>
      <c r="N61"/>
    </row>
    <row r="62" spans="1:14" x14ac:dyDescent="0.25">
      <c r="A62" s="38" t="s">
        <v>33</v>
      </c>
      <c r="B62" s="38" t="s">
        <v>31</v>
      </c>
      <c r="C62" s="12">
        <v>34</v>
      </c>
      <c r="D62" s="13">
        <f t="shared" si="9"/>
        <v>2.1323134249874331E-3</v>
      </c>
      <c r="E62" s="12">
        <f>C62*26/12</f>
        <v>73.666666666666671</v>
      </c>
      <c r="F62" s="59">
        <f t="shared" si="8"/>
        <v>17</v>
      </c>
      <c r="G62"/>
      <c r="H62" s="51">
        <f>C62*26</f>
        <v>884</v>
      </c>
      <c r="I62"/>
      <c r="J62" s="59"/>
      <c r="K62"/>
      <c r="L62" s="45"/>
      <c r="M62" s="45"/>
      <c r="N62"/>
    </row>
    <row r="63" spans="1:14" x14ac:dyDescent="0.25">
      <c r="A63" s="38" t="s">
        <v>59</v>
      </c>
      <c r="B63" s="38" t="s">
        <v>55</v>
      </c>
      <c r="C63" s="12">
        <v>1500</v>
      </c>
      <c r="D63" s="13">
        <f t="shared" si="9"/>
        <v>1.0854536665660009E-2</v>
      </c>
      <c r="E63" s="12">
        <f>C63*3/12</f>
        <v>375</v>
      </c>
      <c r="F63" s="59">
        <f t="shared" si="8"/>
        <v>86.538461538461533</v>
      </c>
      <c r="G63"/>
      <c r="H63" s="51">
        <f>C63*3</f>
        <v>4500</v>
      </c>
      <c r="I63"/>
      <c r="J63" s="59"/>
      <c r="K63"/>
      <c r="L63" s="45"/>
      <c r="M63" s="45"/>
      <c r="N63"/>
    </row>
    <row r="64" spans="1:14" x14ac:dyDescent="0.25">
      <c r="A64" s="10"/>
      <c r="B64" s="10" t="s">
        <v>11</v>
      </c>
      <c r="C64" s="12"/>
      <c r="D64" s="13">
        <f t="shared" si="9"/>
        <v>0</v>
      </c>
      <c r="E64" s="12">
        <f>C64*1</f>
        <v>0</v>
      </c>
      <c r="G64"/>
      <c r="H64" s="51">
        <f>C64*52</f>
        <v>0</v>
      </c>
      <c r="I64"/>
      <c r="J64" s="59"/>
      <c r="K64"/>
      <c r="L64" s="45"/>
      <c r="M64" s="45"/>
      <c r="N64"/>
    </row>
    <row r="65" spans="1:14" x14ac:dyDescent="0.25">
      <c r="A65" s="10"/>
      <c r="B65" s="10" t="s">
        <v>11</v>
      </c>
      <c r="C65" s="12"/>
      <c r="D65" s="13">
        <f t="shared" si="9"/>
        <v>0</v>
      </c>
      <c r="E65" s="12">
        <f>C65*1</f>
        <v>0</v>
      </c>
      <c r="F65" s="59" t="s">
        <v>84</v>
      </c>
      <c r="G65"/>
      <c r="H65" s="51">
        <f>C65*52</f>
        <v>0</v>
      </c>
      <c r="I65"/>
      <c r="J65" s="59"/>
      <c r="K65"/>
      <c r="L65" s="45"/>
      <c r="M65" s="45"/>
      <c r="N65"/>
    </row>
    <row r="66" spans="1:14" x14ac:dyDescent="0.25">
      <c r="A66" s="97" t="s">
        <v>22</v>
      </c>
      <c r="B66" s="98"/>
      <c r="C66" s="99"/>
      <c r="D66" s="30">
        <f>SUM(D54:D65)</f>
        <v>1</v>
      </c>
      <c r="E66" s="20">
        <f>SUM(E54:E65)</f>
        <v>34547.766666666663</v>
      </c>
      <c r="F66" s="59">
        <f>(E66*12)/52</f>
        <v>7972.5615384615376</v>
      </c>
      <c r="G66"/>
      <c r="H66" s="51">
        <f>SUM(H54:H65)</f>
        <v>414573.2</v>
      </c>
      <c r="I66"/>
      <c r="J66" s="82">
        <f>SUM(J54:J65)</f>
        <v>80935.751999999993</v>
      </c>
      <c r="K66"/>
      <c r="L66" s="45"/>
      <c r="M66" s="45"/>
      <c r="N66"/>
    </row>
    <row r="67" spans="1:14" x14ac:dyDescent="0.25">
      <c r="A67" s="18"/>
      <c r="B67" s="18"/>
      <c r="C67" s="5"/>
      <c r="D67" s="5"/>
      <c r="E67" s="5"/>
      <c r="G67"/>
      <c r="H67" s="52"/>
      <c r="I67"/>
      <c r="J67" s="59"/>
      <c r="K67"/>
      <c r="L67"/>
      <c r="M67"/>
      <c r="N67"/>
    </row>
    <row r="68" spans="1:14" x14ac:dyDescent="0.25">
      <c r="A68" s="6"/>
      <c r="B68" s="6"/>
      <c r="C68" s="5"/>
      <c r="D68" s="5"/>
      <c r="E68" s="5"/>
      <c r="F68" s="59" t="s">
        <v>84</v>
      </c>
      <c r="G68"/>
      <c r="H68" s="52"/>
      <c r="I68" s="44" t="s">
        <v>97</v>
      </c>
      <c r="J68" s="59">
        <f>(J55+J54)-(J56+J57)</f>
        <v>60083.076000000001</v>
      </c>
      <c r="K68"/>
      <c r="L68"/>
      <c r="M68"/>
      <c r="N68"/>
    </row>
    <row r="69" spans="1:14" s="3" customFormat="1" ht="21" thickBot="1" x14ac:dyDescent="0.4">
      <c r="A69" s="17" t="s">
        <v>29</v>
      </c>
      <c r="B69" s="7"/>
      <c r="C69" s="8"/>
      <c r="D69" s="8"/>
      <c r="E69" s="21">
        <f>E66-E49</f>
        <v>12153.298333333336</v>
      </c>
      <c r="F69" s="59">
        <f>F66-F49</f>
        <v>2804.6073076923076</v>
      </c>
      <c r="G69" s="16"/>
      <c r="I69"/>
      <c r="J69" s="59"/>
      <c r="K69"/>
      <c r="M69"/>
      <c r="N69"/>
    </row>
    <row r="70" spans="1:14" ht="13.8" thickTop="1" x14ac:dyDescent="0.25">
      <c r="G70"/>
      <c r="H70"/>
      <c r="I70"/>
      <c r="J70" s="59"/>
      <c r="K70"/>
      <c r="L70"/>
      <c r="M70"/>
      <c r="N70"/>
    </row>
    <row r="71" spans="1:14" x14ac:dyDescent="0.25">
      <c r="G71"/>
      <c r="H71"/>
      <c r="I71"/>
      <c r="J71" s="59"/>
      <c r="K71"/>
      <c r="L71"/>
      <c r="M71"/>
      <c r="N71"/>
    </row>
    <row r="72" spans="1:14" x14ac:dyDescent="0.25">
      <c r="G72"/>
      <c r="H72"/>
      <c r="I72"/>
      <c r="J72" s="59"/>
      <c r="K72"/>
      <c r="L72"/>
      <c r="M72"/>
      <c r="N72"/>
    </row>
    <row r="73" spans="1:14" x14ac:dyDescent="0.25">
      <c r="D73" s="103"/>
      <c r="E73" s="103"/>
      <c r="F73" s="103"/>
      <c r="G73" s="103"/>
      <c r="H73"/>
      <c r="I73"/>
      <c r="J73" s="59"/>
      <c r="K73"/>
      <c r="L73"/>
      <c r="M73"/>
      <c r="N73"/>
    </row>
    <row r="74" spans="1:14" x14ac:dyDescent="0.25">
      <c r="A74" s="2"/>
      <c r="C74" s="64"/>
      <c r="D74" s="103"/>
      <c r="E74" s="103"/>
      <c r="F74" s="103"/>
      <c r="G74" s="103"/>
      <c r="H74"/>
      <c r="I74"/>
      <c r="J74" s="59"/>
      <c r="K74"/>
      <c r="L74"/>
      <c r="M74"/>
      <c r="N74"/>
    </row>
    <row r="75" spans="1:14" x14ac:dyDescent="0.25">
      <c r="A75" s="2"/>
      <c r="C75" s="64"/>
      <c r="D75" s="103"/>
      <c r="E75" s="103"/>
      <c r="F75" s="103"/>
      <c r="G75" s="103"/>
      <c r="H75"/>
      <c r="I75"/>
      <c r="J75" s="59"/>
      <c r="K75"/>
      <c r="L75"/>
      <c r="M75"/>
      <c r="N75"/>
    </row>
    <row r="76" spans="1:14" x14ac:dyDescent="0.25">
      <c r="A76" s="2"/>
      <c r="C76" s="64"/>
      <c r="D76" s="103"/>
      <c r="E76" s="103"/>
      <c r="F76" s="103"/>
      <c r="G76" s="103"/>
      <c r="H76"/>
      <c r="I76"/>
      <c r="J76" s="59"/>
      <c r="K76"/>
      <c r="L76"/>
      <c r="M76"/>
      <c r="N76"/>
    </row>
    <row r="77" spans="1:14" x14ac:dyDescent="0.25">
      <c r="A77" s="2"/>
      <c r="C77" s="64"/>
      <c r="D77" s="103"/>
      <c r="E77" s="103"/>
      <c r="F77" s="103"/>
      <c r="G77" s="103"/>
      <c r="H77"/>
      <c r="I77"/>
      <c r="J77" s="59"/>
      <c r="K77"/>
      <c r="L77"/>
      <c r="M77"/>
      <c r="N77"/>
    </row>
    <row r="78" spans="1:14" x14ac:dyDescent="0.25">
      <c r="A78" s="2"/>
      <c r="C78" s="64"/>
      <c r="D78" s="103"/>
      <c r="E78" s="103"/>
      <c r="F78" s="103"/>
      <c r="G78" s="103"/>
      <c r="H78" s="59"/>
      <c r="I78"/>
      <c r="J78" s="59"/>
      <c r="K78"/>
      <c r="L78"/>
      <c r="M78"/>
      <c r="N78"/>
    </row>
    <row r="79" spans="1:14" x14ac:dyDescent="0.25">
      <c r="C79" s="64"/>
      <c r="D79" s="103"/>
      <c r="E79" s="103"/>
      <c r="F79" s="103"/>
      <c r="G79" s="103"/>
      <c r="H79"/>
      <c r="I79"/>
      <c r="J79" s="59"/>
      <c r="K79"/>
      <c r="L79"/>
      <c r="M79"/>
      <c r="N79"/>
    </row>
    <row r="80" spans="1:14" x14ac:dyDescent="0.25">
      <c r="D80" s="103"/>
      <c r="E80" s="103"/>
      <c r="F80" s="103"/>
      <c r="G80" s="103"/>
      <c r="H80"/>
      <c r="I80"/>
      <c r="J80" s="59"/>
      <c r="K80"/>
      <c r="L80"/>
      <c r="M80"/>
      <c r="N80"/>
    </row>
    <row r="81" spans="3:14" x14ac:dyDescent="0.25">
      <c r="D81" s="103"/>
      <c r="E81" s="103"/>
      <c r="F81" s="103"/>
      <c r="G81" s="103"/>
      <c r="H81"/>
      <c r="I81"/>
      <c r="J81" s="59"/>
      <c r="K81"/>
      <c r="L81"/>
      <c r="M81"/>
      <c r="N81"/>
    </row>
    <row r="82" spans="3:14" x14ac:dyDescent="0.25">
      <c r="G82"/>
      <c r="H82"/>
      <c r="I82"/>
      <c r="J82" s="59"/>
      <c r="K82"/>
      <c r="L82"/>
      <c r="M82"/>
      <c r="N82"/>
    </row>
    <row r="83" spans="3:14" x14ac:dyDescent="0.25">
      <c r="G83"/>
      <c r="H83"/>
      <c r="I83"/>
      <c r="J83" s="59"/>
      <c r="K83"/>
      <c r="L83"/>
      <c r="M83"/>
      <c r="N83"/>
    </row>
    <row r="84" spans="3:14" x14ac:dyDescent="0.25">
      <c r="C84" s="1"/>
      <c r="D84" s="1"/>
      <c r="G84"/>
      <c r="H84"/>
      <c r="I84"/>
      <c r="J84" s="59"/>
      <c r="K84"/>
      <c r="L84"/>
      <c r="M84"/>
      <c r="N84"/>
    </row>
    <row r="85" spans="3:14" x14ac:dyDescent="0.25">
      <c r="C85" s="1"/>
      <c r="D85" s="1"/>
      <c r="G85"/>
      <c r="H85"/>
      <c r="I85"/>
      <c r="J85" s="59"/>
      <c r="K85"/>
      <c r="L85"/>
      <c r="M85"/>
      <c r="N85"/>
    </row>
    <row r="86" spans="3:14" x14ac:dyDescent="0.25">
      <c r="C86" s="1"/>
      <c r="D86" s="1"/>
      <c r="G86"/>
      <c r="H86"/>
      <c r="I86"/>
      <c r="J86" s="59"/>
      <c r="K86"/>
      <c r="L86"/>
      <c r="M86"/>
      <c r="N86"/>
    </row>
    <row r="87" spans="3:14" x14ac:dyDescent="0.25">
      <c r="C87" s="1"/>
      <c r="D87" s="1"/>
      <c r="G87"/>
      <c r="H87"/>
      <c r="I87"/>
      <c r="J87" s="59"/>
      <c r="K87"/>
      <c r="L87"/>
      <c r="M87"/>
      <c r="N87"/>
    </row>
    <row r="88" spans="3:14" x14ac:dyDescent="0.25">
      <c r="C88" s="1"/>
      <c r="D88" s="1"/>
      <c r="G88"/>
      <c r="H88"/>
      <c r="I88"/>
      <c r="J88" s="59"/>
      <c r="K88"/>
      <c r="L88"/>
      <c r="M88"/>
      <c r="N88"/>
    </row>
    <row r="89" spans="3:14" x14ac:dyDescent="0.25">
      <c r="C89" s="1"/>
      <c r="D89" s="1"/>
      <c r="G89"/>
      <c r="H89"/>
      <c r="I89"/>
      <c r="J89" s="59"/>
      <c r="K89"/>
      <c r="L89"/>
      <c r="M89"/>
      <c r="N89"/>
    </row>
    <row r="90" spans="3:14" x14ac:dyDescent="0.25">
      <c r="C90" s="1"/>
      <c r="D90" s="1"/>
      <c r="G90"/>
      <c r="H90"/>
      <c r="I90"/>
      <c r="J90" s="59"/>
      <c r="K90"/>
      <c r="L90"/>
      <c r="M90"/>
      <c r="N90"/>
    </row>
    <row r="91" spans="3:14" x14ac:dyDescent="0.25">
      <c r="C91" s="1"/>
      <c r="D91" s="1"/>
      <c r="G91"/>
      <c r="H91"/>
      <c r="I91"/>
      <c r="J91" s="59"/>
      <c r="K91"/>
      <c r="L91"/>
      <c r="M91"/>
      <c r="N91"/>
    </row>
    <row r="92" spans="3:14" x14ac:dyDescent="0.25">
      <c r="C92" s="1"/>
      <c r="D92" s="1"/>
      <c r="G92"/>
      <c r="H92"/>
      <c r="I92"/>
      <c r="J92" s="59"/>
      <c r="K92"/>
      <c r="L92"/>
      <c r="M92"/>
      <c r="N92"/>
    </row>
    <row r="93" spans="3:14" x14ac:dyDescent="0.25">
      <c r="C93" s="1"/>
      <c r="D93" s="1"/>
      <c r="G93"/>
      <c r="H93"/>
      <c r="I93"/>
      <c r="J93" s="59"/>
      <c r="K93"/>
      <c r="L93"/>
      <c r="M93"/>
      <c r="N93"/>
    </row>
    <row r="94" spans="3:14" x14ac:dyDescent="0.25">
      <c r="C94" s="1"/>
      <c r="D94" s="1"/>
      <c r="G94"/>
      <c r="H94"/>
      <c r="I94"/>
      <c r="J94" s="59"/>
      <c r="K94"/>
      <c r="L94"/>
      <c r="M94"/>
      <c r="N94"/>
    </row>
    <row r="95" spans="3:14" x14ac:dyDescent="0.25">
      <c r="C95" s="1"/>
      <c r="D95" s="1"/>
      <c r="G95"/>
      <c r="H95"/>
      <c r="I95"/>
      <c r="J95" s="59"/>
      <c r="K95"/>
      <c r="L95"/>
      <c r="M95"/>
      <c r="N95"/>
    </row>
    <row r="96" spans="3:14" x14ac:dyDescent="0.25">
      <c r="C96" s="1"/>
      <c r="D96" s="1"/>
      <c r="G96"/>
      <c r="H96"/>
      <c r="I96"/>
      <c r="J96" s="59"/>
      <c r="K96"/>
      <c r="L96"/>
      <c r="M96"/>
      <c r="N96"/>
    </row>
    <row r="97" spans="3:14" x14ac:dyDescent="0.25">
      <c r="C97" s="1"/>
      <c r="D97" s="1"/>
      <c r="G97"/>
      <c r="H97"/>
      <c r="I97"/>
      <c r="J97" s="59"/>
      <c r="K97"/>
      <c r="L97"/>
      <c r="M97"/>
      <c r="N97"/>
    </row>
    <row r="98" spans="3:14" x14ac:dyDescent="0.25">
      <c r="C98" s="1"/>
      <c r="D98" s="1"/>
      <c r="G98"/>
      <c r="H98"/>
      <c r="I98"/>
      <c r="J98" s="59"/>
      <c r="K98"/>
      <c r="L98"/>
      <c r="M98"/>
      <c r="N98"/>
    </row>
    <row r="99" spans="3:14" x14ac:dyDescent="0.25">
      <c r="C99" s="1"/>
      <c r="D99" s="1"/>
      <c r="G99"/>
      <c r="H99"/>
      <c r="I99"/>
      <c r="J99" s="59"/>
      <c r="K99"/>
      <c r="L99"/>
      <c r="M99"/>
      <c r="N99"/>
    </row>
    <row r="100" spans="3:14" x14ac:dyDescent="0.25">
      <c r="C100" s="1"/>
      <c r="D100" s="1"/>
      <c r="G100"/>
      <c r="H100"/>
      <c r="I100"/>
      <c r="J100" s="59"/>
      <c r="K100"/>
      <c r="L100"/>
      <c r="M100"/>
      <c r="N100"/>
    </row>
    <row r="101" spans="3:14" x14ac:dyDescent="0.25">
      <c r="C101" s="1"/>
      <c r="D101" s="1"/>
      <c r="G101"/>
      <c r="H101"/>
      <c r="I101"/>
      <c r="J101" s="59"/>
      <c r="K101"/>
      <c r="L101"/>
      <c r="M101"/>
      <c r="N101"/>
    </row>
    <row r="102" spans="3:14" x14ac:dyDescent="0.25">
      <c r="C102" s="1"/>
      <c r="D102" s="1"/>
      <c r="G102"/>
      <c r="H102"/>
      <c r="I102"/>
      <c r="J102" s="59"/>
      <c r="K102"/>
      <c r="L102"/>
      <c r="M102"/>
      <c r="N102"/>
    </row>
    <row r="103" spans="3:14" x14ac:dyDescent="0.25">
      <c r="C103" s="1"/>
      <c r="D103" s="1"/>
      <c r="G103"/>
      <c r="H103"/>
      <c r="I103"/>
      <c r="J103" s="59"/>
      <c r="K103"/>
      <c r="L103"/>
      <c r="M103"/>
      <c r="N103"/>
    </row>
    <row r="104" spans="3:14" x14ac:dyDescent="0.25">
      <c r="C104" s="1"/>
      <c r="D104" s="1"/>
      <c r="G104"/>
      <c r="H104"/>
      <c r="I104"/>
      <c r="J104" s="59"/>
      <c r="K104"/>
      <c r="L104"/>
      <c r="M104"/>
      <c r="N104"/>
    </row>
    <row r="105" spans="3:14" x14ac:dyDescent="0.25">
      <c r="C105" s="1"/>
      <c r="D105" s="1"/>
      <c r="G105"/>
      <c r="H105"/>
      <c r="I105"/>
      <c r="J105" s="59"/>
      <c r="K105"/>
      <c r="L105"/>
      <c r="M105"/>
      <c r="N105"/>
    </row>
    <row r="106" spans="3:14" x14ac:dyDescent="0.25">
      <c r="C106" s="1"/>
      <c r="D106" s="1"/>
      <c r="G106"/>
      <c r="H106"/>
      <c r="I106"/>
      <c r="J106" s="59"/>
      <c r="K106"/>
      <c r="L106"/>
      <c r="M106"/>
      <c r="N106"/>
    </row>
    <row r="107" spans="3:14" x14ac:dyDescent="0.25">
      <c r="C107" s="1"/>
      <c r="D107" s="1"/>
      <c r="G107"/>
      <c r="H107"/>
      <c r="I107"/>
      <c r="J107" s="59"/>
      <c r="K107"/>
      <c r="L107"/>
      <c r="M107"/>
      <c r="N107"/>
    </row>
    <row r="108" spans="3:14" x14ac:dyDescent="0.25">
      <c r="C108" s="1"/>
      <c r="D108" s="1"/>
      <c r="G108"/>
      <c r="H108"/>
      <c r="I108"/>
      <c r="J108" s="59"/>
      <c r="K108"/>
      <c r="L108"/>
      <c r="M108"/>
      <c r="N108"/>
    </row>
    <row r="109" spans="3:14" x14ac:dyDescent="0.25">
      <c r="C109" s="1"/>
      <c r="D109" s="1"/>
      <c r="G109"/>
      <c r="H109"/>
      <c r="I109"/>
      <c r="J109" s="59"/>
      <c r="K109"/>
      <c r="L109"/>
      <c r="M109"/>
      <c r="N109"/>
    </row>
    <row r="110" spans="3:14" x14ac:dyDescent="0.25">
      <c r="C110" s="1"/>
      <c r="D110" s="1"/>
      <c r="G110"/>
      <c r="H110"/>
      <c r="I110"/>
      <c r="J110" s="59"/>
      <c r="K110"/>
      <c r="L110"/>
      <c r="M110"/>
      <c r="N110"/>
    </row>
    <row r="111" spans="3:14" x14ac:dyDescent="0.25">
      <c r="C111" s="1"/>
      <c r="D111" s="1"/>
      <c r="G111"/>
      <c r="H111"/>
      <c r="I111"/>
      <c r="J111" s="59"/>
      <c r="K111"/>
      <c r="L111"/>
      <c r="M111"/>
      <c r="N111"/>
    </row>
    <row r="112" spans="3:14" x14ac:dyDescent="0.25">
      <c r="C112" s="1"/>
      <c r="D112" s="1"/>
      <c r="G112"/>
      <c r="H112"/>
      <c r="I112"/>
      <c r="J112" s="59"/>
      <c r="K112"/>
      <c r="L112"/>
      <c r="M112"/>
      <c r="N112"/>
    </row>
    <row r="113" spans="3:14" x14ac:dyDescent="0.25">
      <c r="C113" s="1"/>
      <c r="D113" s="1"/>
      <c r="G113"/>
      <c r="H113"/>
      <c r="I113"/>
      <c r="J113" s="59"/>
      <c r="K113"/>
      <c r="L113"/>
      <c r="M113"/>
      <c r="N113"/>
    </row>
    <row r="114" spans="3:14" x14ac:dyDescent="0.25">
      <c r="C114" s="1"/>
      <c r="D114" s="1"/>
      <c r="G114"/>
      <c r="H114"/>
      <c r="I114"/>
      <c r="J114" s="59"/>
      <c r="K114"/>
      <c r="L114"/>
      <c r="M114"/>
      <c r="N114"/>
    </row>
    <row r="115" spans="3:14" x14ac:dyDescent="0.25">
      <c r="C115" s="1"/>
      <c r="D115" s="1"/>
      <c r="G115"/>
      <c r="H115"/>
      <c r="I115"/>
      <c r="J115" s="59"/>
      <c r="K115"/>
      <c r="L115"/>
      <c r="M115"/>
      <c r="N115"/>
    </row>
    <row r="116" spans="3:14" x14ac:dyDescent="0.25">
      <c r="C116" s="1"/>
      <c r="D116" s="1"/>
      <c r="G116"/>
      <c r="H116"/>
      <c r="I116"/>
      <c r="J116" s="59"/>
      <c r="K116"/>
      <c r="L116"/>
      <c r="M116"/>
      <c r="N116"/>
    </row>
    <row r="117" spans="3:14" x14ac:dyDescent="0.25">
      <c r="C117" s="1"/>
      <c r="D117" s="1"/>
      <c r="G117"/>
      <c r="H117"/>
      <c r="I117"/>
      <c r="J117" s="59"/>
      <c r="K117"/>
      <c r="L117"/>
      <c r="M117"/>
      <c r="N117"/>
    </row>
    <row r="118" spans="3:14" x14ac:dyDescent="0.25">
      <c r="C118" s="1"/>
      <c r="D118" s="1"/>
      <c r="G118"/>
      <c r="H118"/>
      <c r="I118"/>
      <c r="J118" s="59"/>
      <c r="K118"/>
      <c r="L118"/>
      <c r="M118"/>
      <c r="N118"/>
    </row>
    <row r="119" spans="3:14" x14ac:dyDescent="0.25">
      <c r="C119" s="1"/>
      <c r="D119" s="1"/>
      <c r="G119"/>
      <c r="H119"/>
      <c r="I119"/>
      <c r="J119" s="59"/>
      <c r="K119"/>
      <c r="L119"/>
      <c r="M119"/>
      <c r="N119"/>
    </row>
    <row r="120" spans="3:14" x14ac:dyDescent="0.25">
      <c r="C120" s="1"/>
      <c r="D120" s="1"/>
      <c r="G120"/>
      <c r="H120"/>
      <c r="I120"/>
      <c r="J120" s="59"/>
      <c r="K120"/>
      <c r="L120"/>
      <c r="M120"/>
      <c r="N120"/>
    </row>
    <row r="121" spans="3:14" x14ac:dyDescent="0.25">
      <c r="C121" s="1"/>
      <c r="D121" s="1"/>
      <c r="G121"/>
      <c r="H121"/>
      <c r="I121"/>
      <c r="J121" s="59"/>
      <c r="K121"/>
      <c r="L121"/>
      <c r="M121"/>
      <c r="N121"/>
    </row>
    <row r="122" spans="3:14" x14ac:dyDescent="0.25">
      <c r="C122" s="1"/>
      <c r="D122" s="1"/>
      <c r="G122"/>
      <c r="H122"/>
      <c r="I122"/>
      <c r="J122" s="59"/>
      <c r="K122"/>
      <c r="L122"/>
      <c r="M122"/>
      <c r="N122"/>
    </row>
    <row r="123" spans="3:14" x14ac:dyDescent="0.25">
      <c r="C123" s="1"/>
      <c r="D123" s="1"/>
      <c r="G123"/>
      <c r="H123"/>
      <c r="I123"/>
      <c r="J123" s="59"/>
      <c r="K123"/>
      <c r="L123"/>
      <c r="M123"/>
      <c r="N123"/>
    </row>
    <row r="124" spans="3:14" x14ac:dyDescent="0.25">
      <c r="C124" s="1"/>
      <c r="D124" s="1"/>
      <c r="G124"/>
      <c r="H124"/>
      <c r="I124"/>
      <c r="J124" s="59"/>
      <c r="K124"/>
      <c r="L124"/>
      <c r="M124"/>
      <c r="N124"/>
    </row>
    <row r="125" spans="3:14" x14ac:dyDescent="0.25">
      <c r="C125" s="1"/>
      <c r="D125" s="1"/>
      <c r="G125"/>
      <c r="H125"/>
      <c r="I125"/>
      <c r="J125" s="59"/>
      <c r="K125"/>
      <c r="L125"/>
      <c r="M125"/>
      <c r="N125"/>
    </row>
    <row r="126" spans="3:14" x14ac:dyDescent="0.25">
      <c r="C126" s="1"/>
      <c r="D126" s="1"/>
      <c r="G126"/>
      <c r="H126"/>
      <c r="I126"/>
      <c r="J126" s="59"/>
      <c r="K126"/>
      <c r="L126"/>
      <c r="M126"/>
      <c r="N126"/>
    </row>
    <row r="127" spans="3:14" x14ac:dyDescent="0.25">
      <c r="C127" s="1"/>
      <c r="D127" s="1"/>
      <c r="G127"/>
      <c r="H127"/>
      <c r="I127"/>
      <c r="J127" s="59"/>
      <c r="K127"/>
      <c r="L127"/>
      <c r="M127"/>
      <c r="N127"/>
    </row>
    <row r="128" spans="3:14" x14ac:dyDescent="0.25">
      <c r="C128" s="1"/>
      <c r="D128" s="1"/>
      <c r="G128"/>
      <c r="H128"/>
      <c r="I128"/>
      <c r="J128" s="59"/>
      <c r="K128"/>
      <c r="L128"/>
      <c r="M128"/>
      <c r="N128"/>
    </row>
    <row r="129" spans="3:14" x14ac:dyDescent="0.25">
      <c r="C129" s="1"/>
      <c r="D129" s="1"/>
      <c r="G129"/>
      <c r="H129"/>
      <c r="I129"/>
      <c r="J129" s="59"/>
      <c r="K129"/>
      <c r="L129"/>
      <c r="M129"/>
      <c r="N129"/>
    </row>
    <row r="130" spans="3:14" x14ac:dyDescent="0.25">
      <c r="C130" s="1"/>
      <c r="D130" s="1"/>
      <c r="G130"/>
      <c r="H130"/>
      <c r="I130"/>
      <c r="J130" s="59"/>
      <c r="K130"/>
      <c r="L130"/>
      <c r="M130"/>
      <c r="N130"/>
    </row>
    <row r="131" spans="3:14" x14ac:dyDescent="0.25">
      <c r="C131" s="1"/>
      <c r="D131" s="1"/>
      <c r="G131"/>
      <c r="H131"/>
      <c r="I131"/>
      <c r="J131" s="59"/>
      <c r="K131"/>
      <c r="L131"/>
      <c r="M131"/>
      <c r="N131"/>
    </row>
    <row r="132" spans="3:14" x14ac:dyDescent="0.25">
      <c r="C132" s="1"/>
      <c r="D132" s="1"/>
      <c r="G132"/>
      <c r="H132"/>
      <c r="I132"/>
      <c r="J132" s="59"/>
      <c r="K132"/>
      <c r="L132"/>
      <c r="M132"/>
      <c r="N132"/>
    </row>
    <row r="133" spans="3:14" x14ac:dyDescent="0.25">
      <c r="C133" s="1"/>
      <c r="D133" s="1"/>
      <c r="G133"/>
      <c r="H133"/>
      <c r="I133"/>
      <c r="J133" s="59"/>
      <c r="K133"/>
      <c r="L133"/>
      <c r="M133"/>
      <c r="N133"/>
    </row>
  </sheetData>
  <mergeCells count="3">
    <mergeCell ref="A1:E2"/>
    <mergeCell ref="A49:C49"/>
    <mergeCell ref="A66:C66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workbookViewId="0">
      <selection activeCell="G19" sqref="G19"/>
    </sheetView>
  </sheetViews>
  <sheetFormatPr defaultRowHeight="13.2" x14ac:dyDescent="0.25"/>
  <cols>
    <col min="3" max="3" width="23.33203125" customWidth="1"/>
    <col min="4" max="4" width="10.77734375" customWidth="1"/>
    <col min="5" max="5" width="20.6640625" customWidth="1"/>
    <col min="6" max="6" width="11.88671875" style="45" customWidth="1"/>
    <col min="7" max="7" width="13.5546875" customWidth="1"/>
  </cols>
  <sheetData>
    <row r="2" spans="3:8" x14ac:dyDescent="0.25">
      <c r="C2" t="s">
        <v>68</v>
      </c>
      <c r="D2" s="45">
        <f>34.9+8.75</f>
        <v>43.65</v>
      </c>
      <c r="F2" s="45" t="s">
        <v>86</v>
      </c>
      <c r="G2" t="s">
        <v>87</v>
      </c>
    </row>
    <row r="3" spans="3:8" x14ac:dyDescent="0.25">
      <c r="E3" s="44" t="s">
        <v>71</v>
      </c>
      <c r="F3" s="47">
        <f>D4*D5</f>
        <v>26.8</v>
      </c>
    </row>
    <row r="4" spans="3:8" x14ac:dyDescent="0.25">
      <c r="C4" t="s">
        <v>67</v>
      </c>
      <c r="D4">
        <v>4</v>
      </c>
      <c r="E4" s="44" t="s">
        <v>72</v>
      </c>
      <c r="F4" s="48">
        <f>(G4)*D8</f>
        <v>807.17579999999987</v>
      </c>
      <c r="G4" s="45">
        <f>F3*D2</f>
        <v>1169.82</v>
      </c>
    </row>
    <row r="5" spans="3:8" x14ac:dyDescent="0.25">
      <c r="C5" t="s">
        <v>69</v>
      </c>
      <c r="D5">
        <v>6.7</v>
      </c>
      <c r="E5" s="44" t="s">
        <v>73</v>
      </c>
      <c r="F5" s="49">
        <f>((F4*D6)*D7)/52</f>
        <v>4035.8789999999999</v>
      </c>
      <c r="G5" s="45">
        <f>G4*D6</f>
        <v>5849.0999999999995</v>
      </c>
    </row>
    <row r="6" spans="3:8" x14ac:dyDescent="0.25">
      <c r="C6" t="s">
        <v>70</v>
      </c>
      <c r="D6">
        <v>5</v>
      </c>
      <c r="E6" s="44" t="s">
        <v>75</v>
      </c>
      <c r="F6" s="48">
        <f>F5*2</f>
        <v>8071.7579999999998</v>
      </c>
      <c r="G6" s="45">
        <f>(G5*D7)/26</f>
        <v>11698.199999999999</v>
      </c>
    </row>
    <row r="7" spans="3:8" x14ac:dyDescent="0.25">
      <c r="C7" t="s">
        <v>6</v>
      </c>
      <c r="D7">
        <v>52</v>
      </c>
      <c r="E7" s="44" t="s">
        <v>74</v>
      </c>
      <c r="F7" s="49">
        <f>F5*D7</f>
        <v>209865.70799999998</v>
      </c>
      <c r="G7" s="45">
        <f>G5*D7</f>
        <v>304153.19999999995</v>
      </c>
    </row>
    <row r="8" spans="3:8" ht="14.4" x14ac:dyDescent="0.3">
      <c r="C8" t="s">
        <v>85</v>
      </c>
      <c r="D8" s="54">
        <v>0.69</v>
      </c>
      <c r="F8" s="55">
        <f>F7/52</f>
        <v>4035.8789999999999</v>
      </c>
      <c r="G8" t="s">
        <v>88</v>
      </c>
    </row>
    <row r="9" spans="3:8" ht="14.4" x14ac:dyDescent="0.3">
      <c r="F9" s="58">
        <f>F8/40</f>
        <v>100.896975</v>
      </c>
      <c r="G9" t="s">
        <v>95</v>
      </c>
    </row>
    <row r="12" spans="3:8" x14ac:dyDescent="0.25">
      <c r="H12" s="54">
        <v>0.68</v>
      </c>
    </row>
    <row r="13" spans="3:8" x14ac:dyDescent="0.25">
      <c r="G13" t="s">
        <v>83</v>
      </c>
      <c r="H13" s="53">
        <v>0.7</v>
      </c>
    </row>
    <row r="14" spans="3:8" x14ac:dyDescent="0.25">
      <c r="C14" t="s">
        <v>76</v>
      </c>
      <c r="D14" s="45">
        <v>1150</v>
      </c>
      <c r="E14" s="44" t="s">
        <v>82</v>
      </c>
      <c r="F14" s="45">
        <f>(D14*D15)*H13</f>
        <v>805</v>
      </c>
    </row>
    <row r="15" spans="3:8" x14ac:dyDescent="0.25">
      <c r="C15" s="44" t="s">
        <v>77</v>
      </c>
      <c r="D15" s="46">
        <v>1</v>
      </c>
    </row>
    <row r="16" spans="3:8" x14ac:dyDescent="0.25">
      <c r="C16" s="44"/>
    </row>
    <row r="18" spans="2:6" x14ac:dyDescent="0.25">
      <c r="D18" t="s">
        <v>84</v>
      </c>
      <c r="E18" t="s">
        <v>91</v>
      </c>
      <c r="F18" s="45" t="s">
        <v>92</v>
      </c>
    </row>
    <row r="19" spans="2:6" x14ac:dyDescent="0.25">
      <c r="B19" s="54">
        <v>0.45</v>
      </c>
      <c r="C19" t="s">
        <v>89</v>
      </c>
      <c r="D19" s="57">
        <f>(((F8*52/12)+budget!C52+budget!C53)*12/52)*B19</f>
        <v>2315.1263192307692</v>
      </c>
      <c r="E19" s="57">
        <f>F19/12</f>
        <v>10032.21405</v>
      </c>
      <c r="F19" s="57">
        <f>D19*52</f>
        <v>120386.5686</v>
      </c>
    </row>
    <row r="20" spans="2:6" x14ac:dyDescent="0.25">
      <c r="B20" s="56">
        <f>100%-B19</f>
        <v>0.55000000000000004</v>
      </c>
      <c r="C20" t="s">
        <v>90</v>
      </c>
      <c r="D20" s="57">
        <f>(((F8*52/12)+budget!C52+budget!C53)*12/52)*B20</f>
        <v>2829.5988346153845</v>
      </c>
      <c r="E20" s="57">
        <f>F20/12</f>
        <v>12261.594949999999</v>
      </c>
      <c r="F20" s="57">
        <f>D20*52</f>
        <v>147139.13939999999</v>
      </c>
    </row>
  </sheetData>
  <phoneticPr fontId="6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0"/>
  <sheetViews>
    <sheetView showGridLines="0" topLeftCell="A52" workbookViewId="0">
      <selection activeCell="C51" sqref="C51"/>
    </sheetView>
  </sheetViews>
  <sheetFormatPr defaultColWidth="9.109375" defaultRowHeight="13.2" x14ac:dyDescent="0.25"/>
  <cols>
    <col min="1" max="1" width="51" style="1" customWidth="1"/>
    <col min="2" max="2" width="12.5546875" style="1" customWidth="1"/>
    <col min="3" max="3" width="10.33203125" style="2" customWidth="1"/>
    <col min="4" max="4" width="9.109375" style="2" bestFit="1" customWidth="1"/>
    <col min="5" max="5" width="16" style="1" bestFit="1" customWidth="1"/>
    <col min="6" max="6" width="11.109375" style="60" bestFit="1" customWidth="1"/>
    <col min="7" max="7" width="4.5546875" style="1" customWidth="1"/>
    <col min="8" max="8" width="12.77734375" style="1" customWidth="1"/>
    <col min="9" max="9" width="6.33203125" style="1" customWidth="1"/>
    <col min="10" max="10" width="11.109375" style="2" customWidth="1"/>
    <col min="11" max="11" width="6.33203125" style="1" customWidth="1"/>
    <col min="12" max="12" width="11.77734375" style="1" customWidth="1"/>
    <col min="13" max="13" width="12.21875" style="1" customWidth="1"/>
    <col min="14" max="14" width="11.109375" style="1" bestFit="1" customWidth="1"/>
    <col min="15" max="16384" width="9.109375" style="1"/>
  </cols>
  <sheetData>
    <row r="1" spans="1:14" x14ac:dyDescent="0.25">
      <c r="A1" s="88" t="s">
        <v>40</v>
      </c>
      <c r="B1" s="89"/>
      <c r="C1" s="89"/>
      <c r="D1" s="89"/>
      <c r="E1" s="90"/>
    </row>
    <row r="2" spans="1:14" x14ac:dyDescent="0.25">
      <c r="A2" s="91"/>
      <c r="B2" s="92"/>
      <c r="C2" s="92"/>
      <c r="D2" s="92"/>
      <c r="E2" s="93"/>
    </row>
    <row r="3" spans="1:14" ht="18" thickBot="1" x14ac:dyDescent="0.35">
      <c r="A3" s="40" t="s">
        <v>36</v>
      </c>
      <c r="B3" s="41" t="s">
        <v>60</v>
      </c>
      <c r="C3" s="42"/>
      <c r="D3" s="42"/>
      <c r="E3" s="43"/>
    </row>
    <row r="5" spans="1:14" s="9" customFormat="1" ht="19.5" customHeight="1" x14ac:dyDescent="0.3">
      <c r="A5" s="23" t="s">
        <v>0</v>
      </c>
      <c r="B5" s="23"/>
      <c r="C5" s="24"/>
      <c r="D5" s="24"/>
      <c r="E5" s="24"/>
      <c r="F5" s="59"/>
      <c r="G5"/>
      <c r="H5"/>
      <c r="I5"/>
      <c r="J5" s="45"/>
      <c r="K5"/>
      <c r="L5"/>
      <c r="M5"/>
      <c r="N5"/>
    </row>
    <row r="6" spans="1:14" x14ac:dyDescent="0.25">
      <c r="A6" s="32" t="s">
        <v>1</v>
      </c>
      <c r="B6" s="33" t="s">
        <v>2</v>
      </c>
      <c r="C6" s="34" t="s">
        <v>3</v>
      </c>
      <c r="D6" s="34"/>
      <c r="E6" s="34" t="s">
        <v>4</v>
      </c>
      <c r="F6" s="59"/>
      <c r="G6"/>
      <c r="H6"/>
      <c r="I6"/>
      <c r="J6" s="45"/>
      <c r="K6"/>
      <c r="L6"/>
      <c r="M6"/>
      <c r="N6"/>
    </row>
    <row r="7" spans="1:14" ht="14.4" x14ac:dyDescent="0.3">
      <c r="A7" s="38" t="s">
        <v>41</v>
      </c>
      <c r="B7" s="38" t="s">
        <v>6</v>
      </c>
      <c r="C7" s="12">
        <v>320</v>
      </c>
      <c r="D7" s="13">
        <f t="shared" ref="D7:D42" si="0">E7/$E$46</f>
        <v>0.14249278801526041</v>
      </c>
      <c r="E7" s="12">
        <f>C7*52/12</f>
        <v>1386.6666666666667</v>
      </c>
      <c r="F7" s="61">
        <f t="shared" ref="F7:F44" si="1">(E7*12)/52</f>
        <v>320</v>
      </c>
      <c r="G7"/>
      <c r="H7"/>
      <c r="I7" t="s">
        <v>100</v>
      </c>
      <c r="J7" s="45"/>
      <c r="K7"/>
      <c r="L7"/>
      <c r="M7"/>
      <c r="N7"/>
    </row>
    <row r="8" spans="1:14" x14ac:dyDescent="0.25">
      <c r="A8" s="38" t="s">
        <v>42</v>
      </c>
      <c r="B8" s="38" t="s">
        <v>30</v>
      </c>
      <c r="C8" s="12">
        <v>0</v>
      </c>
      <c r="D8" s="13">
        <f t="shared" si="0"/>
        <v>0</v>
      </c>
      <c r="E8" s="12">
        <f>C8*52/12</f>
        <v>0</v>
      </c>
      <c r="F8" s="59">
        <f t="shared" si="1"/>
        <v>0</v>
      </c>
      <c r="G8"/>
      <c r="H8"/>
      <c r="I8"/>
      <c r="J8" s="45">
        <f>SUM(F7,F10,F11,F12,F13,F14,F18,F37,F39,F40,F41,F43)</f>
        <v>1863.2461538461539</v>
      </c>
      <c r="K8"/>
      <c r="L8"/>
      <c r="M8"/>
      <c r="N8"/>
    </row>
    <row r="9" spans="1:14" s="3" customFormat="1" x14ac:dyDescent="0.25">
      <c r="A9" s="10" t="s">
        <v>24</v>
      </c>
      <c r="B9" s="11" t="s">
        <v>9</v>
      </c>
      <c r="C9" s="12">
        <v>0</v>
      </c>
      <c r="D9" s="13">
        <f t="shared" si="0"/>
        <v>0</v>
      </c>
      <c r="E9" s="14">
        <f>C9/3</f>
        <v>0</v>
      </c>
      <c r="F9" s="59">
        <f t="shared" si="1"/>
        <v>0</v>
      </c>
      <c r="G9"/>
      <c r="H9"/>
      <c r="I9"/>
      <c r="J9" s="45"/>
      <c r="K9"/>
      <c r="L9"/>
      <c r="M9"/>
      <c r="N9"/>
    </row>
    <row r="10" spans="1:14" s="3" customFormat="1" ht="14.4" x14ac:dyDescent="0.3">
      <c r="A10" s="10" t="s">
        <v>5</v>
      </c>
      <c r="B10" s="10" t="s">
        <v>6</v>
      </c>
      <c r="C10" s="12">
        <v>250</v>
      </c>
      <c r="D10" s="13">
        <f t="shared" si="0"/>
        <v>0.11132249063692219</v>
      </c>
      <c r="E10" s="12">
        <f>C10*52/12</f>
        <v>1083.3333333333333</v>
      </c>
      <c r="F10" s="63">
        <f t="shared" si="1"/>
        <v>250</v>
      </c>
      <c r="G10"/>
      <c r="H10"/>
      <c r="I10"/>
      <c r="J10" s="45"/>
      <c r="K10"/>
      <c r="L10"/>
      <c r="M10"/>
      <c r="N10"/>
    </row>
    <row r="11" spans="1:14" ht="14.4" x14ac:dyDescent="0.3">
      <c r="A11" s="10" t="s">
        <v>7</v>
      </c>
      <c r="B11" s="10" t="s">
        <v>6</v>
      </c>
      <c r="C11" s="12">
        <v>200</v>
      </c>
      <c r="D11" s="13">
        <f t="shared" si="0"/>
        <v>8.9057992509537762E-2</v>
      </c>
      <c r="E11" s="12">
        <f>C11*52/12</f>
        <v>866.66666666666663</v>
      </c>
      <c r="F11" s="63">
        <f t="shared" si="1"/>
        <v>200</v>
      </c>
      <c r="G11"/>
      <c r="H11"/>
      <c r="I11"/>
      <c r="J11" s="45"/>
      <c r="K11"/>
      <c r="L11"/>
      <c r="M11"/>
      <c r="N11"/>
    </row>
    <row r="12" spans="1:14" ht="14.4" x14ac:dyDescent="0.3">
      <c r="A12" s="10" t="s">
        <v>8</v>
      </c>
      <c r="B12" s="10" t="s">
        <v>9</v>
      </c>
      <c r="C12" s="12">
        <v>150</v>
      </c>
      <c r="D12" s="13">
        <f t="shared" si="0"/>
        <v>5.1379611063194861E-3</v>
      </c>
      <c r="E12" s="14">
        <f>C12/3</f>
        <v>50</v>
      </c>
      <c r="F12" s="63">
        <f t="shared" si="1"/>
        <v>11.538461538461538</v>
      </c>
      <c r="G12"/>
      <c r="H12"/>
      <c r="I12"/>
      <c r="J12" s="45"/>
      <c r="K12"/>
      <c r="L12"/>
      <c r="M12"/>
      <c r="N12"/>
    </row>
    <row r="13" spans="1:14" ht="14.4" x14ac:dyDescent="0.3">
      <c r="A13" s="15" t="s">
        <v>23</v>
      </c>
      <c r="B13" s="10" t="s">
        <v>9</v>
      </c>
      <c r="C13" s="12">
        <v>125</v>
      </c>
      <c r="D13" s="13">
        <f t="shared" si="0"/>
        <v>4.2816342552662381E-3</v>
      </c>
      <c r="E13" s="14">
        <f>C13/3</f>
        <v>41.666666666666664</v>
      </c>
      <c r="F13" s="63">
        <f t="shared" si="1"/>
        <v>9.615384615384615</v>
      </c>
      <c r="G13"/>
      <c r="H13"/>
      <c r="I13"/>
      <c r="J13" s="45"/>
      <c r="K13"/>
      <c r="L13"/>
      <c r="M13"/>
      <c r="N13"/>
    </row>
    <row r="14" spans="1:14" ht="14.4" x14ac:dyDescent="0.3">
      <c r="A14" s="10" t="s">
        <v>10</v>
      </c>
      <c r="B14" s="10" t="s">
        <v>9</v>
      </c>
      <c r="C14" s="12">
        <v>500</v>
      </c>
      <c r="D14" s="13">
        <f t="shared" si="0"/>
        <v>1.7126537021064953E-2</v>
      </c>
      <c r="E14" s="14">
        <f>C14/3</f>
        <v>166.66666666666666</v>
      </c>
      <c r="F14" s="63">
        <f t="shared" si="1"/>
        <v>38.46153846153846</v>
      </c>
      <c r="G14"/>
      <c r="H14"/>
      <c r="I14"/>
      <c r="J14" s="45"/>
      <c r="K14"/>
      <c r="L14"/>
      <c r="M14"/>
      <c r="N14"/>
    </row>
    <row r="15" spans="1:14" x14ac:dyDescent="0.25">
      <c r="A15" s="10" t="s">
        <v>26</v>
      </c>
      <c r="B15" s="10" t="s">
        <v>11</v>
      </c>
      <c r="C15" s="12">
        <v>70</v>
      </c>
      <c r="D15" s="13">
        <f t="shared" si="0"/>
        <v>7.1931455488472807E-3</v>
      </c>
      <c r="E15" s="12">
        <f>C15*1</f>
        <v>70</v>
      </c>
      <c r="F15" s="59">
        <f t="shared" si="1"/>
        <v>16.153846153846153</v>
      </c>
      <c r="G15"/>
      <c r="H15"/>
      <c r="I15"/>
      <c r="J15" s="45"/>
      <c r="K15"/>
      <c r="L15"/>
      <c r="M15"/>
      <c r="N15"/>
    </row>
    <row r="16" spans="1:14" x14ac:dyDescent="0.25">
      <c r="A16" s="38" t="s">
        <v>44</v>
      </c>
      <c r="B16" s="10" t="s">
        <v>11</v>
      </c>
      <c r="C16" s="12">
        <v>55</v>
      </c>
      <c r="D16" s="13">
        <f t="shared" si="0"/>
        <v>5.6517572169514346E-3</v>
      </c>
      <c r="E16" s="12">
        <f>C16*1</f>
        <v>55</v>
      </c>
      <c r="F16" s="59">
        <f t="shared" si="1"/>
        <v>12.692307692307692</v>
      </c>
      <c r="G16"/>
      <c r="H16"/>
      <c r="I16"/>
      <c r="J16" s="45"/>
      <c r="K16"/>
      <c r="L16"/>
      <c r="M16"/>
      <c r="N16"/>
    </row>
    <row r="17" spans="1:14" x14ac:dyDescent="0.25">
      <c r="A17" s="38" t="s">
        <v>45</v>
      </c>
      <c r="B17" s="10" t="s">
        <v>11</v>
      </c>
      <c r="C17" s="12">
        <v>15</v>
      </c>
      <c r="D17" s="13">
        <f t="shared" si="0"/>
        <v>1.5413883318958457E-3</v>
      </c>
      <c r="E17" s="12">
        <f>C17*1</f>
        <v>15</v>
      </c>
      <c r="F17" s="59">
        <f t="shared" si="1"/>
        <v>3.4615384615384617</v>
      </c>
      <c r="G17"/>
      <c r="H17"/>
      <c r="I17"/>
      <c r="J17" s="45"/>
      <c r="K17"/>
      <c r="L17"/>
      <c r="M17"/>
      <c r="N17"/>
    </row>
    <row r="18" spans="1:14" x14ac:dyDescent="0.25">
      <c r="A18" s="10" t="s">
        <v>25</v>
      </c>
      <c r="B18" s="10" t="s">
        <v>11</v>
      </c>
      <c r="C18" s="12">
        <v>262.39999999999998</v>
      </c>
      <c r="D18" s="13">
        <f t="shared" si="0"/>
        <v>2.6964019885964662E-2</v>
      </c>
      <c r="E18" s="12">
        <f>C18*1</f>
        <v>262.39999999999998</v>
      </c>
      <c r="F18" s="59">
        <f t="shared" si="1"/>
        <v>60.553846153846152</v>
      </c>
      <c r="G18"/>
      <c r="H18"/>
      <c r="I18"/>
      <c r="J18" s="45"/>
      <c r="K18"/>
      <c r="L18"/>
      <c r="M18"/>
      <c r="N18"/>
    </row>
    <row r="19" spans="1:14" x14ac:dyDescent="0.25">
      <c r="A19" s="38" t="s">
        <v>99</v>
      </c>
      <c r="B19" s="38" t="s">
        <v>11</v>
      </c>
      <c r="C19" s="12">
        <v>214.85</v>
      </c>
      <c r="D19" s="13">
        <f t="shared" si="0"/>
        <v>2.2077818873854831E-2</v>
      </c>
      <c r="E19" s="12">
        <f>C19*1</f>
        <v>214.85</v>
      </c>
      <c r="F19" s="59">
        <f t="shared" si="1"/>
        <v>49.580769230769228</v>
      </c>
      <c r="G19"/>
      <c r="H19"/>
      <c r="I19"/>
      <c r="J19" s="45"/>
      <c r="K19"/>
      <c r="L19"/>
      <c r="M19"/>
      <c r="N19"/>
    </row>
    <row r="20" spans="1:14" x14ac:dyDescent="0.25">
      <c r="A20" s="38" t="s">
        <v>62</v>
      </c>
      <c r="B20" s="38" t="s">
        <v>63</v>
      </c>
      <c r="C20" s="12">
        <v>3500</v>
      </c>
      <c r="D20" s="13">
        <f t="shared" si="0"/>
        <v>2.997143978686367E-2</v>
      </c>
      <c r="E20" s="12">
        <f t="shared" ref="E20" si="2">C20/12</f>
        <v>291.66666666666669</v>
      </c>
      <c r="F20" s="59">
        <f t="shared" si="1"/>
        <v>67.307692307692307</v>
      </c>
      <c r="G20"/>
      <c r="H20"/>
      <c r="I20"/>
      <c r="J20" s="45"/>
      <c r="K20"/>
      <c r="L20"/>
      <c r="M20"/>
      <c r="N20"/>
    </row>
    <row r="21" spans="1:14" x14ac:dyDescent="0.25">
      <c r="A21" s="38" t="s">
        <v>64</v>
      </c>
      <c r="B21" s="38" t="s">
        <v>63</v>
      </c>
      <c r="C21" s="12">
        <v>995</v>
      </c>
      <c r="D21" s="13">
        <f t="shared" si="0"/>
        <v>8.5204521679798154E-3</v>
      </c>
      <c r="E21" s="12">
        <f t="shared" ref="E21:E30" si="3">C21/12</f>
        <v>82.916666666666671</v>
      </c>
      <c r="F21" s="59">
        <f t="shared" si="1"/>
        <v>19.134615384615383</v>
      </c>
      <c r="G21"/>
      <c r="H21"/>
      <c r="I21"/>
      <c r="J21" s="45"/>
      <c r="K21"/>
      <c r="L21"/>
      <c r="M21"/>
      <c r="N21"/>
    </row>
    <row r="22" spans="1:14" x14ac:dyDescent="0.25">
      <c r="A22" s="38" t="s">
        <v>46</v>
      </c>
      <c r="B22" s="10" t="s">
        <v>12</v>
      </c>
      <c r="C22" s="12">
        <v>350</v>
      </c>
      <c r="D22" s="13">
        <f t="shared" si="0"/>
        <v>2.997143978686367E-3</v>
      </c>
      <c r="E22" s="12">
        <f>C22/12</f>
        <v>29.166666666666668</v>
      </c>
      <c r="F22" s="59">
        <f t="shared" si="1"/>
        <v>6.7307692307692308</v>
      </c>
      <c r="G22"/>
      <c r="H22"/>
      <c r="I22"/>
      <c r="J22" s="45"/>
      <c r="K22"/>
      <c r="L22"/>
      <c r="M22"/>
      <c r="N22"/>
    </row>
    <row r="23" spans="1:14" x14ac:dyDescent="0.25">
      <c r="A23" s="38" t="s">
        <v>47</v>
      </c>
      <c r="B23" s="10" t="s">
        <v>12</v>
      </c>
      <c r="C23" s="12">
        <v>362.35</v>
      </c>
      <c r="D23" s="13">
        <f t="shared" si="0"/>
        <v>3.1029003447914432E-3</v>
      </c>
      <c r="E23" s="12">
        <f t="shared" si="3"/>
        <v>30.195833333333336</v>
      </c>
      <c r="F23" s="59">
        <f t="shared" si="1"/>
        <v>6.9682692307692315</v>
      </c>
      <c r="G23"/>
      <c r="H23"/>
      <c r="I23"/>
      <c r="J23" s="45"/>
      <c r="K23"/>
      <c r="L23"/>
      <c r="M23"/>
      <c r="N23"/>
    </row>
    <row r="24" spans="1:14" x14ac:dyDescent="0.25">
      <c r="A24" s="38" t="s">
        <v>48</v>
      </c>
      <c r="B24" s="10" t="s">
        <v>12</v>
      </c>
      <c r="C24" s="12">
        <v>732.2</v>
      </c>
      <c r="D24" s="13">
        <f t="shared" si="0"/>
        <v>6.2700252034118805E-3</v>
      </c>
      <c r="E24" s="12">
        <f t="shared" si="3"/>
        <v>61.016666666666673</v>
      </c>
      <c r="F24" s="59">
        <f t="shared" si="1"/>
        <v>14.080769230769231</v>
      </c>
      <c r="G24"/>
      <c r="H24"/>
      <c r="I24"/>
      <c r="J24" s="45"/>
      <c r="K24"/>
      <c r="L24"/>
      <c r="M24"/>
      <c r="N24"/>
    </row>
    <row r="25" spans="1:14" x14ac:dyDescent="0.25">
      <c r="A25" s="38" t="s">
        <v>50</v>
      </c>
      <c r="B25" s="10" t="s">
        <v>12</v>
      </c>
      <c r="C25" s="12">
        <v>695.29</v>
      </c>
      <c r="D25" s="13">
        <f t="shared" si="0"/>
        <v>5.9539549626881254E-3</v>
      </c>
      <c r="E25" s="12">
        <f t="shared" si="3"/>
        <v>57.94083333333333</v>
      </c>
      <c r="F25" s="59">
        <f t="shared" si="1"/>
        <v>13.370961538461538</v>
      </c>
      <c r="G25"/>
      <c r="H25"/>
      <c r="I25"/>
      <c r="J25" s="45"/>
      <c r="K25"/>
      <c r="L25"/>
      <c r="M25"/>
      <c r="N25"/>
    </row>
    <row r="26" spans="1:14" x14ac:dyDescent="0.25">
      <c r="A26" s="38" t="s">
        <v>49</v>
      </c>
      <c r="B26" s="10" t="s">
        <v>12</v>
      </c>
      <c r="C26" s="12">
        <v>446</v>
      </c>
      <c r="D26" s="13">
        <f t="shared" si="0"/>
        <v>3.8192177556974844E-3</v>
      </c>
      <c r="E26" s="12">
        <f t="shared" si="3"/>
        <v>37.166666666666664</v>
      </c>
      <c r="F26" s="59">
        <f t="shared" si="1"/>
        <v>8.5769230769230766</v>
      </c>
      <c r="G26"/>
      <c r="H26"/>
      <c r="I26"/>
      <c r="J26" s="45"/>
      <c r="K26"/>
      <c r="L26"/>
      <c r="M26"/>
      <c r="N26"/>
    </row>
    <row r="27" spans="1:14" x14ac:dyDescent="0.25">
      <c r="A27" s="38" t="s">
        <v>51</v>
      </c>
      <c r="B27" s="10" t="s">
        <v>12</v>
      </c>
      <c r="C27" s="12">
        <v>447</v>
      </c>
      <c r="D27" s="13">
        <f t="shared" si="0"/>
        <v>3.8277810242080173E-3</v>
      </c>
      <c r="E27" s="12">
        <f t="shared" si="3"/>
        <v>37.25</v>
      </c>
      <c r="F27" s="59">
        <f t="shared" si="1"/>
        <v>8.5961538461538467</v>
      </c>
      <c r="G27"/>
      <c r="H27"/>
      <c r="I27"/>
      <c r="J27" s="45"/>
      <c r="K27"/>
      <c r="L27"/>
      <c r="M27"/>
      <c r="N27"/>
    </row>
    <row r="28" spans="1:14" x14ac:dyDescent="0.25">
      <c r="A28" s="10" t="s">
        <v>13</v>
      </c>
      <c r="B28" s="10" t="s">
        <v>12</v>
      </c>
      <c r="C28" s="12">
        <v>353</v>
      </c>
      <c r="D28" s="13">
        <f t="shared" si="0"/>
        <v>3.0228337842179644E-3</v>
      </c>
      <c r="E28" s="12">
        <f t="shared" si="3"/>
        <v>29.416666666666668</v>
      </c>
      <c r="F28" s="59">
        <f t="shared" si="1"/>
        <v>6.7884615384615383</v>
      </c>
      <c r="G28"/>
      <c r="H28"/>
      <c r="I28"/>
      <c r="J28" s="45"/>
      <c r="K28"/>
      <c r="L28"/>
      <c r="M28"/>
      <c r="N28"/>
    </row>
    <row r="29" spans="1:14" x14ac:dyDescent="0.25">
      <c r="A29" s="10" t="s">
        <v>15</v>
      </c>
      <c r="B29" s="10" t="s">
        <v>14</v>
      </c>
      <c r="C29" s="12">
        <v>750</v>
      </c>
      <c r="D29" s="13">
        <f t="shared" si="0"/>
        <v>6.4224513828993581E-3</v>
      </c>
      <c r="E29" s="12">
        <f t="shared" si="3"/>
        <v>62.5</v>
      </c>
      <c r="F29" s="59">
        <f t="shared" si="1"/>
        <v>14.423076923076923</v>
      </c>
      <c r="G29"/>
      <c r="H29"/>
      <c r="I29"/>
      <c r="J29" s="45"/>
      <c r="K29"/>
      <c r="L29"/>
      <c r="M29"/>
      <c r="N29"/>
    </row>
    <row r="30" spans="1:14" x14ac:dyDescent="0.25">
      <c r="A30" s="10" t="s">
        <v>16</v>
      </c>
      <c r="B30" s="10" t="s">
        <v>12</v>
      </c>
      <c r="C30" s="12">
        <v>0</v>
      </c>
      <c r="D30" s="13">
        <f t="shared" si="0"/>
        <v>0</v>
      </c>
      <c r="E30" s="12">
        <f t="shared" si="3"/>
        <v>0</v>
      </c>
      <c r="F30" s="59">
        <f t="shared" si="1"/>
        <v>0</v>
      </c>
      <c r="G30"/>
      <c r="H30"/>
      <c r="I30"/>
      <c r="J30" s="45"/>
      <c r="K30"/>
      <c r="L30"/>
      <c r="M30"/>
      <c r="N30"/>
    </row>
    <row r="31" spans="1:14" x14ac:dyDescent="0.25">
      <c r="A31" s="10" t="s">
        <v>17</v>
      </c>
      <c r="B31" s="10" t="s">
        <v>11</v>
      </c>
      <c r="C31" s="12">
        <v>0</v>
      </c>
      <c r="D31" s="13">
        <f t="shared" si="0"/>
        <v>0</v>
      </c>
      <c r="E31" s="12">
        <f>C31*1</f>
        <v>0</v>
      </c>
      <c r="F31" s="59">
        <f t="shared" si="1"/>
        <v>0</v>
      </c>
      <c r="G31"/>
      <c r="H31"/>
      <c r="I31"/>
      <c r="J31" s="45"/>
      <c r="K31"/>
      <c r="L31"/>
      <c r="M31"/>
      <c r="N31"/>
    </row>
    <row r="32" spans="1:14" x14ac:dyDescent="0.25">
      <c r="A32" s="10" t="s">
        <v>18</v>
      </c>
      <c r="B32" s="10" t="s">
        <v>11</v>
      </c>
      <c r="C32" s="12">
        <v>0</v>
      </c>
      <c r="D32" s="13">
        <f t="shared" si="0"/>
        <v>0</v>
      </c>
      <c r="E32" s="12">
        <f>C32*1</f>
        <v>0</v>
      </c>
      <c r="F32" s="59">
        <f t="shared" si="1"/>
        <v>0</v>
      </c>
      <c r="G32"/>
      <c r="H32"/>
      <c r="I32"/>
      <c r="J32" s="45"/>
      <c r="K32"/>
      <c r="L32"/>
      <c r="M32"/>
      <c r="N32"/>
    </row>
    <row r="33" spans="1:14" x14ac:dyDescent="0.25">
      <c r="A33" s="10" t="s">
        <v>19</v>
      </c>
      <c r="B33" s="10" t="s">
        <v>11</v>
      </c>
      <c r="C33" s="12">
        <v>0</v>
      </c>
      <c r="D33" s="13">
        <f t="shared" si="0"/>
        <v>0</v>
      </c>
      <c r="E33" s="12">
        <f>C33*1</f>
        <v>0</v>
      </c>
      <c r="F33" s="59">
        <f t="shared" si="1"/>
        <v>0</v>
      </c>
      <c r="G33"/>
      <c r="H33"/>
      <c r="I33"/>
      <c r="J33" s="45"/>
      <c r="K33"/>
      <c r="L33"/>
      <c r="M33"/>
      <c r="N33"/>
    </row>
    <row r="34" spans="1:14" x14ac:dyDescent="0.25">
      <c r="A34" s="10" t="s">
        <v>21</v>
      </c>
      <c r="B34" s="10" t="s">
        <v>14</v>
      </c>
      <c r="C34" s="12">
        <v>0</v>
      </c>
      <c r="D34" s="13">
        <f t="shared" si="0"/>
        <v>0</v>
      </c>
      <c r="E34" s="12">
        <f>C34/12</f>
        <v>0</v>
      </c>
      <c r="F34" s="59">
        <f t="shared" si="1"/>
        <v>0</v>
      </c>
      <c r="G34"/>
      <c r="H34"/>
      <c r="I34"/>
      <c r="J34" s="45"/>
      <c r="K34"/>
      <c r="L34"/>
      <c r="M34"/>
      <c r="N34"/>
    </row>
    <row r="35" spans="1:14" x14ac:dyDescent="0.25">
      <c r="A35" s="10" t="s">
        <v>27</v>
      </c>
      <c r="B35" s="10" t="s">
        <v>6</v>
      </c>
      <c r="C35" s="12">
        <v>0</v>
      </c>
      <c r="D35" s="13">
        <f t="shared" si="0"/>
        <v>0</v>
      </c>
      <c r="E35" s="12">
        <f>C35*52/12</f>
        <v>0</v>
      </c>
      <c r="F35" s="59">
        <f t="shared" si="1"/>
        <v>0</v>
      </c>
      <c r="G35"/>
      <c r="H35"/>
      <c r="I35"/>
      <c r="J35" s="45"/>
      <c r="K35"/>
      <c r="L35"/>
      <c r="M35"/>
      <c r="N35"/>
    </row>
    <row r="36" spans="1:14" x14ac:dyDescent="0.25">
      <c r="A36" s="10" t="s">
        <v>28</v>
      </c>
      <c r="B36" s="10" t="s">
        <v>6</v>
      </c>
      <c r="C36" s="12">
        <v>0</v>
      </c>
      <c r="D36" s="13">
        <f t="shared" si="0"/>
        <v>0</v>
      </c>
      <c r="E36" s="12">
        <f>C36*52/12</f>
        <v>0</v>
      </c>
      <c r="F36" s="59">
        <f t="shared" si="1"/>
        <v>0</v>
      </c>
      <c r="G36"/>
      <c r="H36"/>
      <c r="I36"/>
      <c r="J36" s="45"/>
      <c r="K36"/>
      <c r="L36"/>
      <c r="M36"/>
      <c r="N36"/>
    </row>
    <row r="37" spans="1:14" ht="14.4" x14ac:dyDescent="0.3">
      <c r="A37" s="38" t="s">
        <v>52</v>
      </c>
      <c r="B37" s="10" t="s">
        <v>11</v>
      </c>
      <c r="C37" s="12">
        <v>750</v>
      </c>
      <c r="D37" s="13">
        <f t="shared" si="0"/>
        <v>7.7069416594792287E-2</v>
      </c>
      <c r="E37" s="12">
        <f t="shared" ref="E37:E42" si="4">C37*1</f>
        <v>750</v>
      </c>
      <c r="F37" s="61">
        <f t="shared" si="1"/>
        <v>173.07692307692307</v>
      </c>
      <c r="G37"/>
      <c r="H37"/>
      <c r="I37"/>
      <c r="J37" s="45"/>
      <c r="K37"/>
      <c r="L37"/>
      <c r="M37"/>
      <c r="N37"/>
    </row>
    <row r="38" spans="1:14" x14ac:dyDescent="0.25">
      <c r="A38" s="38" t="s">
        <v>61</v>
      </c>
      <c r="B38" s="38" t="s">
        <v>14</v>
      </c>
      <c r="C38" s="12">
        <v>1000</v>
      </c>
      <c r="D38" s="13">
        <f t="shared" si="0"/>
        <v>8.5632685105324763E-3</v>
      </c>
      <c r="E38" s="12">
        <f t="shared" ref="E38" si="5">C38/12</f>
        <v>83.333333333333329</v>
      </c>
      <c r="F38" s="59">
        <f t="shared" si="1"/>
        <v>19.23076923076923</v>
      </c>
      <c r="G38"/>
      <c r="H38"/>
      <c r="I38"/>
      <c r="J38" s="45"/>
      <c r="K38"/>
      <c r="L38"/>
      <c r="M38"/>
      <c r="N38"/>
    </row>
    <row r="39" spans="1:14" ht="14.4" x14ac:dyDescent="0.3">
      <c r="A39" s="38" t="s">
        <v>43</v>
      </c>
      <c r="B39" s="38" t="s">
        <v>6</v>
      </c>
      <c r="C39" s="12">
        <v>400</v>
      </c>
      <c r="D39" s="13">
        <f t="shared" si="0"/>
        <v>0.17811598501907552</v>
      </c>
      <c r="E39" s="12">
        <f>C39*52/12</f>
        <v>1733.3333333333333</v>
      </c>
      <c r="F39" s="61">
        <f t="shared" si="1"/>
        <v>400</v>
      </c>
      <c r="G39"/>
      <c r="H39"/>
      <c r="I39"/>
      <c r="J39" s="45"/>
      <c r="K39"/>
      <c r="L39"/>
      <c r="M39"/>
      <c r="N39"/>
    </row>
    <row r="40" spans="1:14" ht="14.4" x14ac:dyDescent="0.3">
      <c r="A40" s="38" t="s">
        <v>98</v>
      </c>
      <c r="B40" s="38" t="s">
        <v>6</v>
      </c>
      <c r="C40" s="12">
        <v>75</v>
      </c>
      <c r="D40" s="13">
        <f t="shared" si="0"/>
        <v>3.3396747191076659E-2</v>
      </c>
      <c r="E40" s="12">
        <f>C40*52/12</f>
        <v>325</v>
      </c>
      <c r="F40" s="61">
        <f>(E40*12)/52</f>
        <v>75</v>
      </c>
      <c r="G40"/>
      <c r="H40"/>
      <c r="I40"/>
      <c r="J40" s="45"/>
      <c r="K40"/>
      <c r="L40"/>
      <c r="M40"/>
      <c r="N40"/>
    </row>
    <row r="41" spans="1:14" ht="14.4" x14ac:dyDescent="0.3">
      <c r="A41" s="38" t="s">
        <v>54</v>
      </c>
      <c r="B41" s="38" t="s">
        <v>6</v>
      </c>
      <c r="C41" s="12">
        <v>150</v>
      </c>
      <c r="D41" s="13">
        <f t="shared" si="0"/>
        <v>6.6793494382153318E-2</v>
      </c>
      <c r="E41" s="12">
        <f>C41*52/12</f>
        <v>650</v>
      </c>
      <c r="F41" s="61">
        <f t="shared" si="1"/>
        <v>150</v>
      </c>
      <c r="G41"/>
      <c r="H41"/>
      <c r="I41"/>
      <c r="J41" s="45"/>
      <c r="K41"/>
      <c r="L41"/>
      <c r="M41"/>
      <c r="N41"/>
    </row>
    <row r="42" spans="1:14" x14ac:dyDescent="0.25">
      <c r="A42" s="10" t="s">
        <v>34</v>
      </c>
      <c r="B42" s="10" t="s">
        <v>11</v>
      </c>
      <c r="C42" s="12"/>
      <c r="D42" s="13">
        <f t="shared" si="0"/>
        <v>0</v>
      </c>
      <c r="E42" s="12">
        <f t="shared" si="4"/>
        <v>0</v>
      </c>
      <c r="F42" s="59">
        <f t="shared" si="1"/>
        <v>0</v>
      </c>
      <c r="G42"/>
      <c r="H42"/>
      <c r="I42"/>
      <c r="J42" s="45"/>
      <c r="K42"/>
      <c r="L42"/>
      <c r="M42"/>
      <c r="N42"/>
    </row>
    <row r="43" spans="1:14" ht="14.4" x14ac:dyDescent="0.3">
      <c r="A43" s="38" t="s">
        <v>53</v>
      </c>
      <c r="B43" s="38" t="s">
        <v>6</v>
      </c>
      <c r="C43" s="12">
        <v>175</v>
      </c>
      <c r="D43" s="13">
        <f>E43/$E$46</f>
        <v>7.7925743445845547E-2</v>
      </c>
      <c r="E43" s="12">
        <f>C43*52/12</f>
        <v>758.33333333333337</v>
      </c>
      <c r="F43" s="61">
        <f t="shared" si="1"/>
        <v>175</v>
      </c>
      <c r="G43"/>
      <c r="H43"/>
      <c r="I43"/>
      <c r="J43" s="45"/>
      <c r="K43"/>
      <c r="L43"/>
      <c r="M43"/>
      <c r="N43"/>
    </row>
    <row r="44" spans="1:14" x14ac:dyDescent="0.25">
      <c r="A44" s="38" t="s">
        <v>93</v>
      </c>
      <c r="B44" s="38" t="s">
        <v>94</v>
      </c>
      <c r="C44" s="12">
        <v>500</v>
      </c>
      <c r="D44" s="13">
        <f>E44/$E$46</f>
        <v>5.1379611063194865E-2</v>
      </c>
      <c r="E44" s="12">
        <f>C44*12/12</f>
        <v>500</v>
      </c>
      <c r="F44" s="59">
        <f t="shared" si="1"/>
        <v>115.38461538461539</v>
      </c>
      <c r="G44"/>
      <c r="H44"/>
      <c r="I44"/>
      <c r="J44" s="45"/>
      <c r="K44"/>
      <c r="L44"/>
      <c r="M44"/>
      <c r="N44"/>
    </row>
    <row r="45" spans="1:14" x14ac:dyDescent="0.25">
      <c r="A45" s="10"/>
      <c r="B45" s="10"/>
      <c r="C45" s="12"/>
      <c r="D45" s="13"/>
      <c r="E45" s="12"/>
      <c r="F45" s="59" t="s">
        <v>84</v>
      </c>
      <c r="G45"/>
      <c r="H45"/>
      <c r="I45"/>
      <c r="J45" s="45"/>
      <c r="K45"/>
      <c r="L45"/>
      <c r="M45"/>
      <c r="N45"/>
    </row>
    <row r="46" spans="1:14" x14ac:dyDescent="0.25">
      <c r="A46" s="100" t="s">
        <v>20</v>
      </c>
      <c r="B46" s="101"/>
      <c r="C46" s="102"/>
      <c r="D46" s="22">
        <f>SUM(D7:D45)</f>
        <v>0.99999999999999989</v>
      </c>
      <c r="E46" s="19">
        <f>SUM(E7:E45)</f>
        <v>9731.4866666666676</v>
      </c>
      <c r="F46" s="59">
        <f>(E46*12)/52</f>
        <v>2245.7276923076925</v>
      </c>
      <c r="G46"/>
      <c r="H46"/>
      <c r="I46"/>
      <c r="J46" s="45"/>
      <c r="K46"/>
      <c r="L46"/>
      <c r="M46"/>
      <c r="N46"/>
    </row>
    <row r="47" spans="1:14" x14ac:dyDescent="0.25">
      <c r="A47" s="4"/>
      <c r="B47" s="4"/>
      <c r="C47" s="5"/>
      <c r="D47" s="5"/>
      <c r="E47" s="5"/>
      <c r="F47" s="59"/>
      <c r="G47"/>
      <c r="H47"/>
      <c r="I47"/>
      <c r="J47" s="45"/>
      <c r="K47"/>
      <c r="L47"/>
      <c r="M47"/>
      <c r="N47"/>
    </row>
    <row r="48" spans="1:14" x14ac:dyDescent="0.25">
      <c r="A48" s="4"/>
      <c r="B48" s="4"/>
      <c r="C48" s="5"/>
      <c r="D48" s="5"/>
      <c r="E48" s="5"/>
      <c r="F48" s="59"/>
      <c r="G48"/>
      <c r="H48"/>
      <c r="I48"/>
      <c r="J48" s="45"/>
      <c r="K48"/>
      <c r="L48"/>
      <c r="M48"/>
      <c r="N48"/>
    </row>
    <row r="49" spans="1:14" ht="15.6" x14ac:dyDescent="0.3">
      <c r="A49" s="31" t="s">
        <v>39</v>
      </c>
      <c r="B49" s="28"/>
      <c r="C49" s="29"/>
      <c r="D49" s="29"/>
      <c r="E49" s="29"/>
      <c r="F49" s="59"/>
      <c r="G49"/>
      <c r="H49" s="50" t="s">
        <v>78</v>
      </c>
      <c r="I49"/>
      <c r="J49" s="45" t="s">
        <v>96</v>
      </c>
      <c r="K49"/>
      <c r="L49" s="44" t="s">
        <v>81</v>
      </c>
      <c r="M49" s="44" t="s">
        <v>79</v>
      </c>
      <c r="N49" s="44" t="s">
        <v>80</v>
      </c>
    </row>
    <row r="50" spans="1:14" x14ac:dyDescent="0.25">
      <c r="A50" s="35" t="s">
        <v>1</v>
      </c>
      <c r="B50" s="36" t="s">
        <v>2</v>
      </c>
      <c r="C50" s="37" t="s">
        <v>3</v>
      </c>
      <c r="D50" s="37"/>
      <c r="E50" s="37" t="s">
        <v>4</v>
      </c>
      <c r="F50" s="59"/>
      <c r="G50"/>
      <c r="H50" s="50"/>
      <c r="I50"/>
      <c r="J50" s="45"/>
      <c r="K50"/>
      <c r="L50"/>
      <c r="M50"/>
      <c r="N50"/>
    </row>
    <row r="51" spans="1:14" x14ac:dyDescent="0.25">
      <c r="A51" s="39" t="s">
        <v>56</v>
      </c>
      <c r="B51" s="39" t="s">
        <v>30</v>
      </c>
      <c r="C51" s="25">
        <f>work!G5</f>
        <v>5849.0999999999995</v>
      </c>
      <c r="D51" s="26">
        <f>E51/$E$63</f>
        <v>0.78495984144860664</v>
      </c>
      <c r="E51" s="27">
        <f>C51*50/12</f>
        <v>24371.25</v>
      </c>
      <c r="F51" s="62"/>
      <c r="G51"/>
      <c r="H51" s="51">
        <f>C51*50</f>
        <v>292455</v>
      </c>
      <c r="I51"/>
      <c r="J51" s="45">
        <f>H51*0.25</f>
        <v>73113.75</v>
      </c>
      <c r="K51"/>
      <c r="L51" s="45">
        <f>((SUM(E51:E53))*12)/52</f>
        <v>6732.9807692307695</v>
      </c>
      <c r="M51" s="45">
        <f>L51*52/12</f>
        <v>29176.25</v>
      </c>
      <c r="N51" s="45">
        <f>M51*12</f>
        <v>350115</v>
      </c>
    </row>
    <row r="52" spans="1:14" x14ac:dyDescent="0.25">
      <c r="A52" s="38" t="s">
        <v>57</v>
      </c>
      <c r="B52" s="39" t="s">
        <v>58</v>
      </c>
      <c r="C52" s="25">
        <v>4000</v>
      </c>
      <c r="D52" s="26">
        <f>E52/$E$63</f>
        <v>0.12883374327514702</v>
      </c>
      <c r="E52" s="27">
        <f>C52*12/12</f>
        <v>4000</v>
      </c>
      <c r="F52" s="62"/>
      <c r="G52"/>
      <c r="H52" s="51">
        <f>C52*12</f>
        <v>48000</v>
      </c>
      <c r="I52"/>
      <c r="J52" s="45">
        <f>H52*0.25</f>
        <v>12000</v>
      </c>
      <c r="K52"/>
      <c r="L52" s="45"/>
      <c r="M52" s="45"/>
      <c r="N52" s="45"/>
    </row>
    <row r="53" spans="1:14" x14ac:dyDescent="0.25">
      <c r="A53" s="38" t="s">
        <v>65</v>
      </c>
      <c r="B53" s="38" t="s">
        <v>58</v>
      </c>
      <c r="C53" s="12">
        <f>work!F14</f>
        <v>805</v>
      </c>
      <c r="D53" s="13">
        <f t="shared" ref="D53" si="6">E53/$E$63</f>
        <v>2.5927790834123336E-2</v>
      </c>
      <c r="E53" s="12">
        <f>C53*12/12</f>
        <v>805</v>
      </c>
      <c r="F53" s="59"/>
      <c r="G53"/>
      <c r="H53" s="51">
        <f>C53*12</f>
        <v>9660</v>
      </c>
      <c r="I53"/>
      <c r="J53" s="45">
        <f>((H53*30%)+H53)*0.3</f>
        <v>3767.3999999999996</v>
      </c>
      <c r="K53"/>
      <c r="L53" s="45"/>
      <c r="M53" s="45"/>
      <c r="N53" s="45"/>
    </row>
    <row r="54" spans="1:14" x14ac:dyDescent="0.25">
      <c r="A54" s="38" t="s">
        <v>66</v>
      </c>
      <c r="B54" s="10" t="s">
        <v>30</v>
      </c>
      <c r="C54" s="12">
        <v>328.35</v>
      </c>
      <c r="D54" s="13">
        <f t="shared" ref="D54:D62" si="7">E54/$E$63</f>
        <v>4.5827772904760734E-2</v>
      </c>
      <c r="E54" s="12">
        <f>C54*52/12</f>
        <v>1422.8500000000001</v>
      </c>
      <c r="F54" s="59"/>
      <c r="G54"/>
      <c r="H54" s="51">
        <f t="shared" ref="H54:H58" si="8">C54*52</f>
        <v>17074.2</v>
      </c>
      <c r="I54"/>
      <c r="J54" s="45">
        <f>((H54*30%)+H54)*0.3</f>
        <v>6658.9379999999992</v>
      </c>
      <c r="K54"/>
      <c r="L54" s="45"/>
      <c r="M54" s="45"/>
      <c r="N54" s="45"/>
    </row>
    <row r="55" spans="1:14" x14ac:dyDescent="0.25">
      <c r="A55" s="38" t="s">
        <v>37</v>
      </c>
      <c r="B55" s="10" t="s">
        <v>11</v>
      </c>
      <c r="C55" s="12"/>
      <c r="D55" s="13">
        <f t="shared" si="7"/>
        <v>0</v>
      </c>
      <c r="E55" s="12">
        <f>C55*1</f>
        <v>0</v>
      </c>
      <c r="F55" s="59"/>
      <c r="G55"/>
      <c r="H55" s="51">
        <f t="shared" si="8"/>
        <v>0</v>
      </c>
      <c r="I55"/>
      <c r="J55" s="45"/>
      <c r="K55"/>
      <c r="L55" s="45"/>
      <c r="M55" s="45"/>
      <c r="N55" s="45"/>
    </row>
    <row r="56" spans="1:14" x14ac:dyDescent="0.25">
      <c r="A56" s="38" t="s">
        <v>38</v>
      </c>
      <c r="B56" s="10" t="s">
        <v>31</v>
      </c>
      <c r="C56" s="12"/>
      <c r="D56" s="13">
        <f t="shared" si="7"/>
        <v>0</v>
      </c>
      <c r="E56" s="12">
        <f>C56*26/12</f>
        <v>0</v>
      </c>
      <c r="F56" s="59"/>
      <c r="G56"/>
      <c r="H56" s="51">
        <f t="shared" si="8"/>
        <v>0</v>
      </c>
      <c r="I56"/>
      <c r="J56" s="45"/>
      <c r="K56"/>
      <c r="L56" s="45"/>
      <c r="M56" s="45"/>
      <c r="N56" s="45"/>
    </row>
    <row r="57" spans="1:14" x14ac:dyDescent="0.25">
      <c r="A57" s="10" t="s">
        <v>35</v>
      </c>
      <c r="B57" s="10" t="s">
        <v>31</v>
      </c>
      <c r="C57" s="12"/>
      <c r="D57" s="13">
        <f t="shared" si="7"/>
        <v>0</v>
      </c>
      <c r="E57" s="12">
        <f>C57*26/12</f>
        <v>0</v>
      </c>
      <c r="F57" s="59"/>
      <c r="G57"/>
      <c r="H57" s="51">
        <f t="shared" si="8"/>
        <v>0</v>
      </c>
      <c r="I57"/>
      <c r="J57" s="45"/>
      <c r="K57"/>
      <c r="L57" s="45"/>
      <c r="M57" s="45"/>
      <c r="N57"/>
    </row>
    <row r="58" spans="1:14" x14ac:dyDescent="0.25">
      <c r="A58" s="10" t="s">
        <v>32</v>
      </c>
      <c r="B58" s="10" t="s">
        <v>31</v>
      </c>
      <c r="C58" s="12"/>
      <c r="D58" s="13">
        <f t="shared" si="7"/>
        <v>0</v>
      </c>
      <c r="E58" s="12">
        <f>C58*26/12</f>
        <v>0</v>
      </c>
      <c r="F58" s="59"/>
      <c r="G58"/>
      <c r="H58" s="51">
        <f t="shared" si="8"/>
        <v>0</v>
      </c>
      <c r="I58"/>
      <c r="J58" s="45"/>
      <c r="K58"/>
      <c r="L58" s="45"/>
      <c r="M58" s="45"/>
      <c r="N58"/>
    </row>
    <row r="59" spans="1:14" x14ac:dyDescent="0.25">
      <c r="A59" s="38" t="s">
        <v>33</v>
      </c>
      <c r="B59" s="38" t="s">
        <v>31</v>
      </c>
      <c r="C59" s="12">
        <v>34</v>
      </c>
      <c r="D59" s="13">
        <f t="shared" si="7"/>
        <v>2.3726881053172909E-3</v>
      </c>
      <c r="E59" s="12">
        <f>C59*26/12</f>
        <v>73.666666666666671</v>
      </c>
      <c r="G59"/>
      <c r="H59" s="51">
        <f>C59*26</f>
        <v>884</v>
      </c>
      <c r="I59"/>
      <c r="J59" s="45"/>
      <c r="K59"/>
      <c r="L59" s="45"/>
      <c r="M59" s="45"/>
      <c r="N59"/>
    </row>
    <row r="60" spans="1:14" x14ac:dyDescent="0.25">
      <c r="A60" s="38" t="s">
        <v>59</v>
      </c>
      <c r="B60" s="38" t="s">
        <v>55</v>
      </c>
      <c r="C60" s="12">
        <v>1500</v>
      </c>
      <c r="D60" s="13">
        <f t="shared" si="7"/>
        <v>1.2078163432045031E-2</v>
      </c>
      <c r="E60" s="12">
        <f>C60*3/12</f>
        <v>375</v>
      </c>
      <c r="F60" s="62"/>
      <c r="G60"/>
      <c r="H60" s="51">
        <f>C60*3</f>
        <v>4500</v>
      </c>
      <c r="I60"/>
      <c r="J60" s="45"/>
      <c r="K60"/>
      <c r="L60" s="45"/>
      <c r="M60" s="45"/>
      <c r="N60"/>
    </row>
    <row r="61" spans="1:14" x14ac:dyDescent="0.25">
      <c r="A61" s="10"/>
      <c r="B61" s="10" t="s">
        <v>11</v>
      </c>
      <c r="C61" s="12"/>
      <c r="D61" s="13">
        <f t="shared" si="7"/>
        <v>0</v>
      </c>
      <c r="E61" s="12">
        <f>C61*1</f>
        <v>0</v>
      </c>
      <c r="F61" s="59"/>
      <c r="G61"/>
      <c r="H61" s="51">
        <f>C61*52</f>
        <v>0</v>
      </c>
      <c r="I61"/>
      <c r="J61" s="45"/>
      <c r="K61"/>
      <c r="L61" s="45"/>
      <c r="M61" s="45"/>
      <c r="N61"/>
    </row>
    <row r="62" spans="1:14" x14ac:dyDescent="0.25">
      <c r="A62" s="10"/>
      <c r="B62" s="10" t="s">
        <v>11</v>
      </c>
      <c r="C62" s="12"/>
      <c r="D62" s="13">
        <f t="shared" si="7"/>
        <v>0</v>
      </c>
      <c r="E62" s="12">
        <f>C62*1</f>
        <v>0</v>
      </c>
      <c r="F62" s="59" t="s">
        <v>84</v>
      </c>
      <c r="G62"/>
      <c r="H62" s="51">
        <f>C62*52</f>
        <v>0</v>
      </c>
      <c r="I62"/>
      <c r="J62" s="45"/>
      <c r="K62"/>
      <c r="L62" s="45"/>
      <c r="M62" s="45"/>
      <c r="N62"/>
    </row>
    <row r="63" spans="1:14" x14ac:dyDescent="0.25">
      <c r="A63" s="97" t="s">
        <v>22</v>
      </c>
      <c r="B63" s="98"/>
      <c r="C63" s="99"/>
      <c r="D63" s="30">
        <f>SUM(D51:D62)</f>
        <v>1</v>
      </c>
      <c r="E63" s="20">
        <f>SUM(E51:E62)</f>
        <v>31047.766666666666</v>
      </c>
      <c r="F63" s="59">
        <f>(E63*12)/52</f>
        <v>7164.8692307692309</v>
      </c>
      <c r="G63"/>
      <c r="H63" s="51">
        <f>SUM(H51:H62)</f>
        <v>372573.2</v>
      </c>
      <c r="I63"/>
      <c r="J63" s="51">
        <f>SUM(J51:J62)</f>
        <v>95540.087999999989</v>
      </c>
      <c r="K63"/>
      <c r="L63" s="45"/>
      <c r="M63" s="45"/>
      <c r="N63"/>
    </row>
    <row r="64" spans="1:14" x14ac:dyDescent="0.25">
      <c r="A64" s="18"/>
      <c r="B64" s="18"/>
      <c r="C64" s="5"/>
      <c r="D64" s="5"/>
      <c r="E64" s="5"/>
      <c r="F64" s="59"/>
      <c r="G64"/>
      <c r="H64" s="52"/>
      <c r="I64"/>
      <c r="J64" s="45"/>
      <c r="K64"/>
      <c r="L64"/>
      <c r="M64"/>
      <c r="N64"/>
    </row>
    <row r="65" spans="1:14" x14ac:dyDescent="0.25">
      <c r="A65" s="6"/>
      <c r="B65" s="6"/>
      <c r="C65" s="5"/>
      <c r="D65" s="5"/>
      <c r="E65" s="5"/>
      <c r="F65" s="59" t="s">
        <v>84</v>
      </c>
      <c r="G65"/>
      <c r="H65" s="52"/>
      <c r="I65" s="44" t="s">
        <v>97</v>
      </c>
      <c r="J65" s="45">
        <f>(J52+J51)-(J53+J54)</f>
        <v>74687.411999999997</v>
      </c>
      <c r="K65"/>
      <c r="L65"/>
      <c r="M65"/>
      <c r="N65"/>
    </row>
    <row r="66" spans="1:14" s="3" customFormat="1" ht="21" thickBot="1" x14ac:dyDescent="0.4">
      <c r="A66" s="17" t="s">
        <v>29</v>
      </c>
      <c r="B66" s="7"/>
      <c r="C66" s="8"/>
      <c r="D66" s="8"/>
      <c r="E66" s="21">
        <f>E63-E46</f>
        <v>21316.28</v>
      </c>
      <c r="F66" s="59">
        <f>F63-F46</f>
        <v>4919.1415384615384</v>
      </c>
      <c r="G66" s="16"/>
      <c r="I66"/>
      <c r="J66" s="45"/>
      <c r="K66"/>
      <c r="M66"/>
      <c r="N66"/>
    </row>
    <row r="67" spans="1:14" ht="13.8" thickTop="1" x14ac:dyDescent="0.25">
      <c r="F67" s="59"/>
      <c r="G67"/>
      <c r="H67"/>
      <c r="I67"/>
      <c r="J67" s="45"/>
      <c r="K67"/>
      <c r="L67"/>
      <c r="M67"/>
      <c r="N67"/>
    </row>
    <row r="68" spans="1:14" x14ac:dyDescent="0.25">
      <c r="F68" s="59"/>
      <c r="G68"/>
      <c r="H68"/>
      <c r="I68"/>
      <c r="J68" s="45"/>
      <c r="K68"/>
      <c r="L68"/>
      <c r="M68"/>
      <c r="N68"/>
    </row>
    <row r="69" spans="1:14" x14ac:dyDescent="0.25">
      <c r="F69" s="59"/>
      <c r="G69"/>
      <c r="H69"/>
      <c r="I69"/>
      <c r="J69" s="45"/>
      <c r="K69"/>
      <c r="L69"/>
      <c r="M69"/>
      <c r="N69"/>
    </row>
    <row r="70" spans="1:14" x14ac:dyDescent="0.25">
      <c r="E70" s="2" t="s">
        <v>106</v>
      </c>
      <c r="F70" s="59" t="s">
        <v>107</v>
      </c>
      <c r="G70"/>
      <c r="H70" t="s">
        <v>108</v>
      </c>
      <c r="I70"/>
      <c r="J70" s="45"/>
      <c r="K70"/>
      <c r="L70"/>
      <c r="M70"/>
      <c r="N70"/>
    </row>
    <row r="71" spans="1:14" ht="14.4" x14ac:dyDescent="0.3">
      <c r="A71" s="2">
        <f>SUM(E71:J71)</f>
        <v>32000</v>
      </c>
      <c r="B71" s="1" t="s">
        <v>101</v>
      </c>
      <c r="C71" s="64">
        <v>5</v>
      </c>
      <c r="D71" s="2">
        <v>2000</v>
      </c>
      <c r="E71" s="65">
        <f>D71*C71</f>
        <v>10000</v>
      </c>
      <c r="F71" s="59"/>
      <c r="G71"/>
      <c r="H71"/>
      <c r="I71"/>
      <c r="J71" s="45">
        <v>22000</v>
      </c>
      <c r="K71"/>
      <c r="L71"/>
      <c r="M71"/>
      <c r="N71"/>
    </row>
    <row r="72" spans="1:14" ht="14.4" x14ac:dyDescent="0.3">
      <c r="A72" s="2">
        <f>A71+SUM(E72:J72)</f>
        <v>37000</v>
      </c>
      <c r="B72" s="1" t="s">
        <v>102</v>
      </c>
      <c r="C72" s="64">
        <v>4</v>
      </c>
      <c r="D72" s="2">
        <v>1250</v>
      </c>
      <c r="E72" s="65">
        <f>D72*C72</f>
        <v>5000</v>
      </c>
      <c r="F72" s="59"/>
      <c r="G72"/>
      <c r="H72"/>
      <c r="I72"/>
      <c r="J72" s="45"/>
      <c r="K72"/>
      <c r="L72"/>
      <c r="M72"/>
      <c r="N72"/>
    </row>
    <row r="73" spans="1:14" ht="14.4" x14ac:dyDescent="0.3">
      <c r="A73" s="2">
        <f>A72+SUM(E73:J73)</f>
        <v>42000</v>
      </c>
      <c r="B73" s="1" t="s">
        <v>103</v>
      </c>
      <c r="C73" s="64">
        <v>4</v>
      </c>
      <c r="D73" s="2">
        <v>1250</v>
      </c>
      <c r="E73" s="65">
        <f>D73*C73</f>
        <v>5000</v>
      </c>
      <c r="F73" s="59"/>
      <c r="G73"/>
      <c r="H73"/>
      <c r="I73"/>
      <c r="J73" s="45"/>
      <c r="K73"/>
      <c r="L73"/>
      <c r="M73"/>
      <c r="N73"/>
    </row>
    <row r="74" spans="1:14" ht="14.4" x14ac:dyDescent="0.3">
      <c r="A74" s="2">
        <f>A73+SUM(E74:J74)</f>
        <v>48250</v>
      </c>
      <c r="B74" s="1" t="s">
        <v>104</v>
      </c>
      <c r="C74" s="64">
        <v>5</v>
      </c>
      <c r="D74" s="2">
        <v>1250</v>
      </c>
      <c r="E74" s="65">
        <f>D74*C74</f>
        <v>6250</v>
      </c>
      <c r="F74" s="59"/>
      <c r="G74"/>
      <c r="H74" t="s">
        <v>109</v>
      </c>
      <c r="I74"/>
      <c r="J74" s="45"/>
      <c r="K74"/>
      <c r="L74"/>
      <c r="M74"/>
      <c r="N74"/>
    </row>
    <row r="75" spans="1:14" ht="14.4" x14ac:dyDescent="0.3">
      <c r="A75" s="2">
        <f>A74+SUM(E75:J75)</f>
        <v>59250</v>
      </c>
      <c r="B75" s="1" t="s">
        <v>105</v>
      </c>
      <c r="C75" s="64">
        <v>4</v>
      </c>
      <c r="D75" s="2">
        <v>1250</v>
      </c>
      <c r="E75" s="65">
        <f>D75*C75</f>
        <v>5000</v>
      </c>
      <c r="F75" s="59"/>
      <c r="G75"/>
      <c r="H75" s="59">
        <v>6000</v>
      </c>
      <c r="I75"/>
      <c r="J75" s="45"/>
      <c r="K75"/>
      <c r="L75"/>
      <c r="M75"/>
      <c r="N75"/>
    </row>
    <row r="76" spans="1:14" x14ac:dyDescent="0.25">
      <c r="C76" s="64"/>
      <c r="F76" s="59"/>
      <c r="G76"/>
      <c r="H76"/>
      <c r="I76"/>
      <c r="J76" s="45"/>
      <c r="K76"/>
      <c r="L76"/>
      <c r="M76"/>
      <c r="N76"/>
    </row>
    <row r="77" spans="1:14" x14ac:dyDescent="0.25">
      <c r="F77" s="59"/>
      <c r="G77"/>
      <c r="H77"/>
      <c r="I77"/>
      <c r="J77" s="45"/>
      <c r="K77"/>
      <c r="L77"/>
      <c r="M77"/>
      <c r="N77"/>
    </row>
    <row r="78" spans="1:14" x14ac:dyDescent="0.25">
      <c r="F78" s="59"/>
      <c r="G78"/>
      <c r="H78"/>
      <c r="I78"/>
      <c r="J78" s="45"/>
      <c r="K78"/>
      <c r="L78"/>
      <c r="M78"/>
      <c r="N78"/>
    </row>
    <row r="79" spans="1:14" x14ac:dyDescent="0.25">
      <c r="F79" s="59"/>
      <c r="G79"/>
      <c r="H79"/>
      <c r="I79"/>
      <c r="J79" s="45"/>
      <c r="K79"/>
      <c r="L79"/>
      <c r="M79"/>
      <c r="N79"/>
    </row>
    <row r="80" spans="1:14" x14ac:dyDescent="0.25">
      <c r="F80" s="59"/>
      <c r="G80"/>
      <c r="H80"/>
      <c r="I80"/>
      <c r="J80" s="45"/>
      <c r="K80"/>
      <c r="L80"/>
      <c r="M80"/>
      <c r="N80"/>
    </row>
    <row r="81" spans="6:14" s="1" customFormat="1" x14ac:dyDescent="0.25">
      <c r="F81" s="59"/>
      <c r="G81"/>
      <c r="H81"/>
      <c r="I81"/>
      <c r="J81" s="45"/>
      <c r="K81"/>
      <c r="L81"/>
      <c r="M81"/>
      <c r="N81"/>
    </row>
    <row r="82" spans="6:14" s="1" customFormat="1" x14ac:dyDescent="0.25">
      <c r="F82" s="59"/>
      <c r="G82"/>
      <c r="H82"/>
      <c r="I82"/>
      <c r="J82" s="45"/>
      <c r="K82"/>
      <c r="L82"/>
      <c r="M82"/>
      <c r="N82"/>
    </row>
    <row r="83" spans="6:14" s="1" customFormat="1" x14ac:dyDescent="0.25">
      <c r="F83" s="59"/>
      <c r="G83"/>
      <c r="H83"/>
      <c r="I83"/>
      <c r="J83" s="45"/>
      <c r="K83"/>
      <c r="L83"/>
      <c r="M83"/>
      <c r="N83"/>
    </row>
    <row r="84" spans="6:14" s="1" customFormat="1" x14ac:dyDescent="0.25">
      <c r="F84" s="59"/>
      <c r="G84"/>
      <c r="H84"/>
      <c r="I84"/>
      <c r="J84" s="45"/>
      <c r="K84"/>
      <c r="L84"/>
      <c r="M84"/>
      <c r="N84"/>
    </row>
    <row r="85" spans="6:14" s="1" customFormat="1" x14ac:dyDescent="0.25">
      <c r="F85" s="59"/>
      <c r="G85"/>
      <c r="H85"/>
      <c r="I85"/>
      <c r="J85" s="45"/>
      <c r="K85"/>
      <c r="L85"/>
      <c r="M85"/>
      <c r="N85"/>
    </row>
    <row r="86" spans="6:14" s="1" customFormat="1" x14ac:dyDescent="0.25">
      <c r="F86" s="59"/>
      <c r="G86"/>
      <c r="H86"/>
      <c r="I86"/>
      <c r="J86" s="45"/>
      <c r="K86"/>
      <c r="L86"/>
      <c r="M86"/>
      <c r="N86"/>
    </row>
    <row r="87" spans="6:14" s="1" customFormat="1" x14ac:dyDescent="0.25">
      <c r="F87" s="59"/>
      <c r="G87"/>
      <c r="H87"/>
      <c r="I87"/>
      <c r="J87" s="45"/>
      <c r="K87"/>
      <c r="L87"/>
      <c r="M87"/>
      <c r="N87"/>
    </row>
    <row r="88" spans="6:14" s="1" customFormat="1" x14ac:dyDescent="0.25">
      <c r="F88" s="59"/>
      <c r="G88"/>
      <c r="H88"/>
      <c r="I88"/>
      <c r="J88" s="45"/>
      <c r="K88"/>
      <c r="L88"/>
      <c r="M88"/>
      <c r="N88"/>
    </row>
    <row r="89" spans="6:14" s="1" customFormat="1" x14ac:dyDescent="0.25">
      <c r="F89" s="59"/>
      <c r="G89"/>
      <c r="H89"/>
      <c r="I89"/>
      <c r="J89" s="45"/>
      <c r="K89"/>
      <c r="L89"/>
      <c r="M89"/>
      <c r="N89"/>
    </row>
    <row r="90" spans="6:14" s="1" customFormat="1" x14ac:dyDescent="0.25">
      <c r="F90" s="59"/>
      <c r="G90"/>
      <c r="H90"/>
      <c r="I90"/>
      <c r="J90" s="45"/>
      <c r="K90"/>
      <c r="L90"/>
      <c r="M90"/>
      <c r="N90"/>
    </row>
    <row r="91" spans="6:14" s="1" customFormat="1" x14ac:dyDescent="0.25">
      <c r="F91" s="59"/>
      <c r="G91"/>
      <c r="H91"/>
      <c r="I91"/>
      <c r="J91" s="45"/>
      <c r="K91"/>
      <c r="L91"/>
      <c r="M91"/>
      <c r="N91"/>
    </row>
    <row r="92" spans="6:14" s="1" customFormat="1" x14ac:dyDescent="0.25">
      <c r="F92" s="59"/>
      <c r="G92"/>
      <c r="H92"/>
      <c r="I92"/>
      <c r="J92" s="45"/>
      <c r="K92"/>
      <c r="L92"/>
      <c r="M92"/>
      <c r="N92"/>
    </row>
    <row r="93" spans="6:14" s="1" customFormat="1" x14ac:dyDescent="0.25">
      <c r="F93" s="59"/>
      <c r="G93"/>
      <c r="H93"/>
      <c r="I93"/>
      <c r="J93" s="45"/>
      <c r="K93"/>
      <c r="L93"/>
      <c r="M93"/>
      <c r="N93"/>
    </row>
    <row r="94" spans="6:14" s="1" customFormat="1" x14ac:dyDescent="0.25">
      <c r="F94" s="59"/>
      <c r="G94"/>
      <c r="H94"/>
      <c r="I94"/>
      <c r="J94" s="45"/>
      <c r="K94"/>
      <c r="L94"/>
      <c r="M94"/>
      <c r="N94"/>
    </row>
    <row r="95" spans="6:14" s="1" customFormat="1" x14ac:dyDescent="0.25">
      <c r="F95" s="59"/>
      <c r="G95"/>
      <c r="H95"/>
      <c r="I95"/>
      <c r="J95" s="45"/>
      <c r="K95"/>
      <c r="L95"/>
      <c r="M95"/>
      <c r="N95"/>
    </row>
    <row r="96" spans="6:14" s="1" customFormat="1" x14ac:dyDescent="0.25">
      <c r="F96" s="59"/>
      <c r="G96"/>
      <c r="H96"/>
      <c r="I96"/>
      <c r="J96" s="45"/>
      <c r="K96"/>
      <c r="L96"/>
      <c r="M96"/>
      <c r="N96"/>
    </row>
    <row r="97" spans="6:14" s="1" customFormat="1" x14ac:dyDescent="0.25">
      <c r="F97" s="59"/>
      <c r="G97"/>
      <c r="H97"/>
      <c r="I97"/>
      <c r="J97" s="45"/>
      <c r="K97"/>
      <c r="L97"/>
      <c r="M97"/>
      <c r="N97"/>
    </row>
    <row r="98" spans="6:14" s="1" customFormat="1" x14ac:dyDescent="0.25">
      <c r="F98" s="59"/>
      <c r="G98"/>
      <c r="H98"/>
      <c r="I98"/>
      <c r="J98" s="45"/>
      <c r="K98"/>
      <c r="L98"/>
      <c r="M98"/>
      <c r="N98"/>
    </row>
    <row r="99" spans="6:14" s="1" customFormat="1" x14ac:dyDescent="0.25">
      <c r="F99" s="59"/>
      <c r="G99"/>
      <c r="H99"/>
      <c r="I99"/>
      <c r="J99" s="45"/>
      <c r="K99"/>
      <c r="L99"/>
      <c r="M99"/>
      <c r="N99"/>
    </row>
    <row r="100" spans="6:14" s="1" customFormat="1" x14ac:dyDescent="0.25">
      <c r="F100" s="59"/>
      <c r="G100"/>
      <c r="H100"/>
      <c r="I100"/>
      <c r="J100" s="45"/>
      <c r="K100"/>
      <c r="L100"/>
      <c r="M100"/>
      <c r="N100"/>
    </row>
    <row r="101" spans="6:14" s="1" customFormat="1" x14ac:dyDescent="0.25">
      <c r="F101" s="59"/>
      <c r="G101"/>
      <c r="H101"/>
      <c r="I101"/>
      <c r="J101" s="45"/>
      <c r="K101"/>
      <c r="L101"/>
      <c r="M101"/>
      <c r="N101"/>
    </row>
    <row r="102" spans="6:14" s="1" customFormat="1" x14ac:dyDescent="0.25">
      <c r="F102" s="59"/>
      <c r="G102"/>
      <c r="H102"/>
      <c r="I102"/>
      <c r="J102" s="45"/>
      <c r="K102"/>
      <c r="L102"/>
      <c r="M102"/>
      <c r="N102"/>
    </row>
    <row r="103" spans="6:14" s="1" customFormat="1" x14ac:dyDescent="0.25">
      <c r="F103" s="59"/>
      <c r="G103"/>
      <c r="H103"/>
      <c r="I103"/>
      <c r="J103" s="45"/>
      <c r="K103"/>
      <c r="L103"/>
      <c r="M103"/>
      <c r="N103"/>
    </row>
    <row r="104" spans="6:14" s="1" customFormat="1" x14ac:dyDescent="0.25">
      <c r="F104" s="59"/>
      <c r="G104"/>
      <c r="H104"/>
      <c r="I104"/>
      <c r="J104" s="45"/>
      <c r="K104"/>
      <c r="L104"/>
      <c r="M104"/>
      <c r="N104"/>
    </row>
    <row r="105" spans="6:14" s="1" customFormat="1" x14ac:dyDescent="0.25">
      <c r="F105" s="59"/>
      <c r="G105"/>
      <c r="H105"/>
      <c r="I105"/>
      <c r="J105" s="45"/>
      <c r="K105"/>
      <c r="L105"/>
      <c r="M105"/>
      <c r="N105"/>
    </row>
    <row r="106" spans="6:14" s="1" customFormat="1" x14ac:dyDescent="0.25">
      <c r="F106" s="59"/>
      <c r="G106"/>
      <c r="H106"/>
      <c r="I106"/>
      <c r="J106" s="45"/>
      <c r="K106"/>
      <c r="L106"/>
      <c r="M106"/>
      <c r="N106"/>
    </row>
    <row r="107" spans="6:14" s="1" customFormat="1" x14ac:dyDescent="0.25">
      <c r="F107" s="59"/>
      <c r="G107"/>
      <c r="H107"/>
      <c r="I107"/>
      <c r="J107" s="45"/>
      <c r="K107"/>
      <c r="L107"/>
      <c r="M107"/>
      <c r="N107"/>
    </row>
    <row r="108" spans="6:14" s="1" customFormat="1" x14ac:dyDescent="0.25">
      <c r="F108" s="59"/>
      <c r="G108"/>
      <c r="H108"/>
      <c r="I108"/>
      <c r="J108" s="45"/>
      <c r="K108"/>
      <c r="L108"/>
      <c r="M108"/>
      <c r="N108"/>
    </row>
    <row r="109" spans="6:14" s="1" customFormat="1" x14ac:dyDescent="0.25">
      <c r="F109" s="59"/>
      <c r="G109"/>
      <c r="H109"/>
      <c r="I109"/>
      <c r="J109" s="45"/>
      <c r="K109"/>
      <c r="L109"/>
      <c r="M109"/>
      <c r="N109"/>
    </row>
    <row r="110" spans="6:14" s="1" customFormat="1" x14ac:dyDescent="0.25">
      <c r="F110" s="59"/>
      <c r="G110"/>
      <c r="H110"/>
      <c r="I110"/>
      <c r="J110" s="45"/>
      <c r="K110"/>
      <c r="L110"/>
      <c r="M110"/>
      <c r="N110"/>
    </row>
    <row r="111" spans="6:14" s="1" customFormat="1" x14ac:dyDescent="0.25">
      <c r="F111" s="59"/>
      <c r="G111"/>
      <c r="H111"/>
      <c r="I111"/>
      <c r="J111" s="45"/>
      <c r="K111"/>
      <c r="L111"/>
      <c r="M111"/>
      <c r="N111"/>
    </row>
    <row r="112" spans="6:14" s="1" customFormat="1" x14ac:dyDescent="0.25">
      <c r="F112" s="59"/>
      <c r="G112"/>
      <c r="H112"/>
      <c r="I112"/>
      <c r="J112" s="45"/>
      <c r="K112"/>
      <c r="L112"/>
      <c r="M112"/>
      <c r="N112"/>
    </row>
    <row r="113" spans="6:14" s="1" customFormat="1" x14ac:dyDescent="0.25">
      <c r="F113" s="59"/>
      <c r="G113"/>
      <c r="H113"/>
      <c r="I113"/>
      <c r="J113" s="45"/>
      <c r="K113"/>
      <c r="L113"/>
      <c r="M113"/>
      <c r="N113"/>
    </row>
    <row r="114" spans="6:14" s="1" customFormat="1" x14ac:dyDescent="0.25">
      <c r="F114" s="59"/>
      <c r="G114"/>
      <c r="H114"/>
      <c r="I114"/>
      <c r="J114" s="45"/>
      <c r="K114"/>
      <c r="L114"/>
      <c r="M114"/>
      <c r="N114"/>
    </row>
    <row r="115" spans="6:14" s="1" customFormat="1" x14ac:dyDescent="0.25">
      <c r="F115" s="59"/>
      <c r="G115"/>
      <c r="H115"/>
      <c r="I115"/>
      <c r="J115" s="45"/>
      <c r="K115"/>
      <c r="L115"/>
      <c r="M115"/>
      <c r="N115"/>
    </row>
    <row r="116" spans="6:14" s="1" customFormat="1" x14ac:dyDescent="0.25">
      <c r="F116" s="59"/>
      <c r="G116"/>
      <c r="H116"/>
      <c r="I116"/>
      <c r="J116" s="45"/>
      <c r="K116"/>
      <c r="L116"/>
      <c r="M116"/>
      <c r="N116"/>
    </row>
    <row r="117" spans="6:14" s="1" customFormat="1" x14ac:dyDescent="0.25">
      <c r="F117" s="59"/>
      <c r="G117"/>
      <c r="H117"/>
      <c r="I117"/>
      <c r="J117" s="45"/>
      <c r="K117"/>
      <c r="L117"/>
      <c r="M117"/>
      <c r="N117"/>
    </row>
    <row r="118" spans="6:14" s="1" customFormat="1" x14ac:dyDescent="0.25">
      <c r="F118" s="59"/>
      <c r="G118"/>
      <c r="H118"/>
      <c r="I118"/>
      <c r="J118" s="45"/>
      <c r="K118"/>
      <c r="L118"/>
      <c r="M118"/>
      <c r="N118"/>
    </row>
    <row r="119" spans="6:14" s="1" customFormat="1" x14ac:dyDescent="0.25">
      <c r="F119" s="59"/>
      <c r="G119"/>
      <c r="H119"/>
      <c r="I119"/>
      <c r="J119" s="45"/>
      <c r="K119"/>
      <c r="L119"/>
      <c r="M119"/>
      <c r="N119"/>
    </row>
    <row r="120" spans="6:14" s="1" customFormat="1" x14ac:dyDescent="0.25">
      <c r="F120" s="59"/>
      <c r="G120"/>
      <c r="H120"/>
      <c r="I120"/>
      <c r="J120" s="45"/>
      <c r="K120"/>
      <c r="L120"/>
      <c r="M120"/>
      <c r="N120"/>
    </row>
    <row r="121" spans="6:14" s="1" customFormat="1" x14ac:dyDescent="0.25">
      <c r="F121" s="59"/>
      <c r="G121"/>
      <c r="H121"/>
      <c r="I121"/>
      <c r="J121" s="45"/>
      <c r="K121"/>
      <c r="L121"/>
      <c r="M121"/>
      <c r="N121"/>
    </row>
    <row r="122" spans="6:14" s="1" customFormat="1" x14ac:dyDescent="0.25">
      <c r="F122" s="59"/>
      <c r="G122"/>
      <c r="H122"/>
      <c r="I122"/>
      <c r="J122" s="45"/>
      <c r="K122"/>
      <c r="L122"/>
      <c r="M122"/>
      <c r="N122"/>
    </row>
    <row r="123" spans="6:14" s="1" customFormat="1" x14ac:dyDescent="0.25">
      <c r="F123" s="59"/>
      <c r="G123"/>
      <c r="H123"/>
      <c r="I123"/>
      <c r="J123" s="45"/>
      <c r="K123"/>
      <c r="L123"/>
      <c r="M123"/>
      <c r="N123"/>
    </row>
    <row r="124" spans="6:14" s="1" customFormat="1" x14ac:dyDescent="0.25">
      <c r="F124" s="59"/>
      <c r="G124"/>
      <c r="H124"/>
      <c r="I124"/>
      <c r="J124" s="45"/>
      <c r="K124"/>
      <c r="L124"/>
      <c r="M124"/>
      <c r="N124"/>
    </row>
    <row r="125" spans="6:14" s="1" customFormat="1" x14ac:dyDescent="0.25">
      <c r="F125" s="59"/>
      <c r="G125"/>
      <c r="H125"/>
      <c r="I125"/>
      <c r="J125" s="45"/>
      <c r="K125"/>
      <c r="L125"/>
      <c r="M125"/>
      <c r="N125"/>
    </row>
    <row r="126" spans="6:14" s="1" customFormat="1" x14ac:dyDescent="0.25">
      <c r="F126" s="59"/>
      <c r="G126"/>
      <c r="H126"/>
      <c r="I126"/>
      <c r="J126" s="45"/>
      <c r="K126"/>
      <c r="L126"/>
      <c r="M126"/>
      <c r="N126"/>
    </row>
    <row r="127" spans="6:14" s="1" customFormat="1" x14ac:dyDescent="0.25">
      <c r="F127" s="59"/>
      <c r="G127"/>
      <c r="H127"/>
      <c r="I127"/>
      <c r="J127" s="45"/>
      <c r="K127"/>
      <c r="L127"/>
      <c r="M127"/>
      <c r="N127"/>
    </row>
    <row r="128" spans="6:14" s="1" customFormat="1" x14ac:dyDescent="0.25">
      <c r="F128" s="59"/>
      <c r="G128"/>
      <c r="H128"/>
      <c r="I128"/>
      <c r="J128" s="45"/>
      <c r="K128"/>
      <c r="L128"/>
      <c r="M128"/>
      <c r="N128"/>
    </row>
    <row r="129" spans="6:14" s="1" customFormat="1" x14ac:dyDescent="0.25">
      <c r="F129" s="59"/>
      <c r="G129"/>
      <c r="H129"/>
      <c r="I129"/>
      <c r="J129" s="45"/>
      <c r="K129"/>
      <c r="L129"/>
      <c r="M129"/>
      <c r="N129"/>
    </row>
    <row r="130" spans="6:14" s="1" customFormat="1" x14ac:dyDescent="0.25">
      <c r="F130" s="59"/>
      <c r="G130"/>
      <c r="H130"/>
      <c r="I130"/>
      <c r="J130" s="45"/>
      <c r="K130"/>
      <c r="L130"/>
      <c r="M130"/>
      <c r="N130"/>
    </row>
  </sheetData>
  <mergeCells count="3">
    <mergeCell ref="A46:C46"/>
    <mergeCell ref="A63:C63"/>
    <mergeCell ref="A1:E2"/>
  </mergeCells>
  <phoneticPr fontId="6" type="noConversion"/>
  <pageMargins left="0.55118110236220474" right="0.55118110236220474" top="0.19685039370078741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TRUE BUDGET</vt:lpstr>
      <vt:lpstr>work</vt:lpstr>
      <vt:lpstr>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johnmmd</cp:lastModifiedBy>
  <cp:lastPrinted>2009-11-02T00:41:57Z</cp:lastPrinted>
  <dcterms:created xsi:type="dcterms:W3CDTF">2008-10-30T05:33:57Z</dcterms:created>
  <dcterms:modified xsi:type="dcterms:W3CDTF">2011-12-09T11:03:11Z</dcterms:modified>
</cp:coreProperties>
</file>