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585" yWindow="-15" windowWidth="12630" windowHeight="12060" tabRatio="875" activeTab="2"/>
  </bookViews>
  <sheets>
    <sheet name="Summary" sheetId="1" r:id="rId1"/>
    <sheet name="Business Income" sheetId="5" r:id="rId2"/>
    <sheet name="PAYG expenses " sheetId="8" r:id="rId3"/>
    <sheet name="Mileage PAYG" sheetId="7" r:id="rId4"/>
    <sheet name="Business Expenses4th quarter" sheetId="10" r:id="rId5"/>
    <sheet name="Mileage4th quarter" sheetId="3" r:id="rId6"/>
    <sheet name="Business Expenses1st quarter" sheetId="6" r:id="rId7"/>
    <sheet name="Business Expenses2nd quarter" sheetId="11" r:id="rId8"/>
    <sheet name="Mileage2nd quarter" sheetId="9" r:id="rId9"/>
    <sheet name="Business Expenses3rd quarter" sheetId="12" r:id="rId10"/>
    <sheet name="Mileage3rd quarter" sheetId="2" r:id="rId11"/>
  </sheets>
  <definedNames>
    <definedName name="_xlnm._FilterDatabase" localSheetId="9" hidden="1">'Business Expenses3rd quarter'!$A$10:$C$70</definedName>
  </definedNames>
  <calcPr calcId="145621"/>
</workbook>
</file>

<file path=xl/calcChain.xml><?xml version="1.0" encoding="utf-8"?>
<calcChain xmlns="http://schemas.openxmlformats.org/spreadsheetml/2006/main">
  <c r="Q2" i="7" l="1"/>
  <c r="C80" i="8" s="1"/>
  <c r="D56" i="8"/>
  <c r="D36" i="8"/>
  <c r="C54" i="8"/>
  <c r="C50" i="8"/>
  <c r="D47" i="8" s="1"/>
  <c r="Q132" i="7"/>
  <c r="Q131" i="7"/>
  <c r="Q130" i="7"/>
  <c r="Q129" i="7"/>
  <c r="Q128" i="7"/>
  <c r="Q127" i="7"/>
  <c r="Q126" i="7"/>
  <c r="Q125" i="7"/>
  <c r="Q124" i="7"/>
  <c r="Q123" i="7"/>
  <c r="Q122" i="7"/>
  <c r="Q121" i="7"/>
  <c r="Q120" i="7"/>
  <c r="Q119" i="7"/>
  <c r="Q118" i="7"/>
  <c r="Q117" i="7"/>
  <c r="Q116" i="7"/>
  <c r="Q115" i="7"/>
  <c r="Q114" i="7"/>
  <c r="Q113" i="7"/>
  <c r="Q112" i="7"/>
  <c r="Q111" i="7"/>
  <c r="Q110" i="7"/>
  <c r="Q109" i="7"/>
  <c r="Q108" i="7"/>
  <c r="Q107" i="7"/>
  <c r="Q106" i="7"/>
  <c r="Q105" i="7"/>
  <c r="Q104" i="7"/>
  <c r="Q103" i="7"/>
  <c r="Q102" i="7"/>
  <c r="Q101" i="7"/>
  <c r="Q100" i="7"/>
  <c r="Q99" i="7"/>
  <c r="Q98" i="7"/>
  <c r="Q97" i="7"/>
  <c r="Q96" i="7"/>
  <c r="Q95" i="7"/>
  <c r="Q94" i="7"/>
  <c r="Q93" i="7"/>
  <c r="Q92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AH28" i="5" l="1"/>
  <c r="AD25" i="5"/>
  <c r="AD24" i="5"/>
  <c r="AD23" i="5"/>
  <c r="AD22" i="5"/>
  <c r="AD21" i="5"/>
  <c r="AD20" i="5"/>
  <c r="AD19" i="5"/>
  <c r="AD18" i="5"/>
  <c r="AD17" i="5"/>
  <c r="AG16" i="5"/>
  <c r="AD15" i="5"/>
  <c r="G18" i="12" l="1"/>
  <c r="G20" i="12"/>
  <c r="G19" i="12"/>
  <c r="G17" i="12"/>
  <c r="G15" i="12"/>
  <c r="G14" i="12"/>
  <c r="G12" i="12"/>
  <c r="G11" i="12"/>
  <c r="G10" i="12"/>
  <c r="V41" i="5"/>
  <c r="W41" i="5" s="1"/>
  <c r="U41" i="5"/>
  <c r="Y28" i="5"/>
  <c r="W32" i="5"/>
  <c r="Y32" i="5" s="1"/>
  <c r="G27" i="12"/>
  <c r="G26" i="12"/>
  <c r="K140" i="3"/>
  <c r="E139" i="3"/>
  <c r="G139" i="3" s="1"/>
  <c r="I139" i="3" s="1"/>
  <c r="E138" i="3"/>
  <c r="G138" i="3" s="1"/>
  <c r="I138" i="3" s="1"/>
  <c r="G137" i="3"/>
  <c r="I137" i="3" s="1"/>
  <c r="E137" i="3"/>
  <c r="E136" i="3"/>
  <c r="G136" i="3" s="1"/>
  <c r="I136" i="3" s="1"/>
  <c r="G135" i="3"/>
  <c r="I135" i="3" s="1"/>
  <c r="E135" i="3"/>
  <c r="E134" i="3"/>
  <c r="G134" i="3" s="1"/>
  <c r="I134" i="3" s="1"/>
  <c r="G133" i="3"/>
  <c r="I133" i="3" s="1"/>
  <c r="E133" i="3"/>
  <c r="E132" i="3"/>
  <c r="G132" i="3" s="1"/>
  <c r="I132" i="3" s="1"/>
  <c r="G131" i="3"/>
  <c r="I131" i="3" s="1"/>
  <c r="E131" i="3"/>
  <c r="E130" i="3"/>
  <c r="G130" i="3" s="1"/>
  <c r="I130" i="3" s="1"/>
  <c r="G129" i="3"/>
  <c r="I129" i="3" s="1"/>
  <c r="E129" i="3"/>
  <c r="E128" i="3"/>
  <c r="G128" i="3" s="1"/>
  <c r="I128" i="3" s="1"/>
  <c r="G127" i="3"/>
  <c r="I127" i="3" s="1"/>
  <c r="E127" i="3"/>
  <c r="E126" i="3"/>
  <c r="G126" i="3" s="1"/>
  <c r="I126" i="3" s="1"/>
  <c r="G125" i="3"/>
  <c r="I125" i="3" s="1"/>
  <c r="E125" i="3"/>
  <c r="E124" i="3"/>
  <c r="G124" i="3" s="1"/>
  <c r="I124" i="3" s="1"/>
  <c r="G123" i="3"/>
  <c r="I123" i="3" s="1"/>
  <c r="E123" i="3"/>
  <c r="E122" i="3"/>
  <c r="G122" i="3" s="1"/>
  <c r="I122" i="3" s="1"/>
  <c r="G121" i="3"/>
  <c r="I121" i="3" s="1"/>
  <c r="E121" i="3"/>
  <c r="E120" i="3"/>
  <c r="G120" i="3" s="1"/>
  <c r="I120" i="3" s="1"/>
  <c r="G119" i="3"/>
  <c r="I119" i="3" s="1"/>
  <c r="E119" i="3"/>
  <c r="E118" i="3"/>
  <c r="G118" i="3" s="1"/>
  <c r="I118" i="3" s="1"/>
  <c r="G117" i="3"/>
  <c r="I117" i="3" s="1"/>
  <c r="E117" i="3"/>
  <c r="E116" i="3"/>
  <c r="G116" i="3" s="1"/>
  <c r="I116" i="3" s="1"/>
  <c r="G115" i="3"/>
  <c r="I115" i="3" s="1"/>
  <c r="E115" i="3"/>
  <c r="E114" i="3"/>
  <c r="G114" i="3" s="1"/>
  <c r="I114" i="3" s="1"/>
  <c r="G113" i="3"/>
  <c r="I113" i="3" s="1"/>
  <c r="E113" i="3"/>
  <c r="E112" i="3"/>
  <c r="G112" i="3" s="1"/>
  <c r="I112" i="3" s="1"/>
  <c r="G111" i="3"/>
  <c r="I111" i="3" s="1"/>
  <c r="E111" i="3"/>
  <c r="E110" i="3"/>
  <c r="G110" i="3" s="1"/>
  <c r="I110" i="3" s="1"/>
  <c r="G109" i="3"/>
  <c r="I109" i="3" s="1"/>
  <c r="E109" i="3"/>
  <c r="E108" i="3"/>
  <c r="G108" i="3" s="1"/>
  <c r="I108" i="3" s="1"/>
  <c r="G107" i="3"/>
  <c r="I107" i="3" s="1"/>
  <c r="E107" i="3"/>
  <c r="E106" i="3"/>
  <c r="G106" i="3" s="1"/>
  <c r="I106" i="3" s="1"/>
  <c r="G105" i="3"/>
  <c r="I105" i="3" s="1"/>
  <c r="E105" i="3"/>
  <c r="E104" i="3"/>
  <c r="G104" i="3" s="1"/>
  <c r="I104" i="3" s="1"/>
  <c r="G103" i="3"/>
  <c r="I103" i="3" s="1"/>
  <c r="E103" i="3"/>
  <c r="E102" i="3"/>
  <c r="G102" i="3" s="1"/>
  <c r="I102" i="3" s="1"/>
  <c r="G101" i="3"/>
  <c r="I101" i="3" s="1"/>
  <c r="E101" i="3"/>
  <c r="E100" i="3"/>
  <c r="G100" i="3" s="1"/>
  <c r="I100" i="3" s="1"/>
  <c r="G99" i="3"/>
  <c r="I99" i="3" s="1"/>
  <c r="E99" i="3"/>
  <c r="E98" i="3"/>
  <c r="G98" i="3" s="1"/>
  <c r="I98" i="3" s="1"/>
  <c r="G97" i="3"/>
  <c r="I97" i="3" s="1"/>
  <c r="E97" i="3"/>
  <c r="E96" i="3"/>
  <c r="G96" i="3" s="1"/>
  <c r="I96" i="3" s="1"/>
  <c r="G95" i="3"/>
  <c r="I95" i="3" s="1"/>
  <c r="E95" i="3"/>
  <c r="E94" i="3"/>
  <c r="G94" i="3" s="1"/>
  <c r="I94" i="3" s="1"/>
  <c r="G93" i="3"/>
  <c r="I93" i="3" s="1"/>
  <c r="E93" i="3"/>
  <c r="E92" i="3"/>
  <c r="G92" i="3" s="1"/>
  <c r="I92" i="3" s="1"/>
  <c r="G91" i="3"/>
  <c r="I91" i="3" s="1"/>
  <c r="E91" i="3"/>
  <c r="E90" i="3"/>
  <c r="G90" i="3" s="1"/>
  <c r="I90" i="3" s="1"/>
  <c r="G89" i="3"/>
  <c r="I89" i="3" s="1"/>
  <c r="E89" i="3"/>
  <c r="E88" i="3"/>
  <c r="G88" i="3" s="1"/>
  <c r="I88" i="3" s="1"/>
  <c r="G87" i="3"/>
  <c r="I87" i="3" s="1"/>
  <c r="E87" i="3"/>
  <c r="E86" i="3"/>
  <c r="G86" i="3" s="1"/>
  <c r="I86" i="3" s="1"/>
  <c r="G85" i="3"/>
  <c r="I85" i="3" s="1"/>
  <c r="E85" i="3"/>
  <c r="E84" i="3"/>
  <c r="G84" i="3" s="1"/>
  <c r="I84" i="3" s="1"/>
  <c r="G83" i="3"/>
  <c r="I83" i="3" s="1"/>
  <c r="E83" i="3"/>
  <c r="E82" i="3"/>
  <c r="G82" i="3" s="1"/>
  <c r="I82" i="3" s="1"/>
  <c r="G81" i="3"/>
  <c r="I81" i="3" s="1"/>
  <c r="E81" i="3"/>
  <c r="E80" i="3"/>
  <c r="G80" i="3" s="1"/>
  <c r="I80" i="3" s="1"/>
  <c r="G79" i="3"/>
  <c r="I79" i="3" s="1"/>
  <c r="E79" i="3"/>
  <c r="E78" i="3"/>
  <c r="G78" i="3" s="1"/>
  <c r="I78" i="3" s="1"/>
  <c r="G77" i="3"/>
  <c r="I77" i="3" s="1"/>
  <c r="E77" i="3"/>
  <c r="E76" i="3"/>
  <c r="G76" i="3" s="1"/>
  <c r="I76" i="3" s="1"/>
  <c r="G75" i="3"/>
  <c r="I75" i="3" s="1"/>
  <c r="E75" i="3"/>
  <c r="E74" i="3"/>
  <c r="G74" i="3" s="1"/>
  <c r="I74" i="3" s="1"/>
  <c r="G73" i="3"/>
  <c r="I73" i="3" s="1"/>
  <c r="E73" i="3"/>
  <c r="E72" i="3"/>
  <c r="G72" i="3" s="1"/>
  <c r="I72" i="3" s="1"/>
  <c r="G71" i="3"/>
  <c r="I71" i="3" s="1"/>
  <c r="E71" i="3"/>
  <c r="E70" i="3"/>
  <c r="G70" i="3" s="1"/>
  <c r="I70" i="3" s="1"/>
  <c r="G69" i="3"/>
  <c r="I69" i="3" s="1"/>
  <c r="E69" i="3"/>
  <c r="E68" i="3"/>
  <c r="G68" i="3" s="1"/>
  <c r="I68" i="3" s="1"/>
  <c r="G67" i="3"/>
  <c r="I67" i="3" s="1"/>
  <c r="E67" i="3"/>
  <c r="E66" i="3"/>
  <c r="G66" i="3" s="1"/>
  <c r="I66" i="3" s="1"/>
  <c r="G65" i="3"/>
  <c r="I65" i="3" s="1"/>
  <c r="E65" i="3"/>
  <c r="E64" i="3"/>
  <c r="G64" i="3" s="1"/>
  <c r="I64" i="3" s="1"/>
  <c r="G63" i="3"/>
  <c r="I63" i="3" s="1"/>
  <c r="E63" i="3"/>
  <c r="E62" i="3"/>
  <c r="G62" i="3" s="1"/>
  <c r="I62" i="3" s="1"/>
  <c r="G61" i="3"/>
  <c r="I61" i="3" s="1"/>
  <c r="E61" i="3"/>
  <c r="E60" i="3"/>
  <c r="G60" i="3" s="1"/>
  <c r="I60" i="3" s="1"/>
  <c r="G59" i="3"/>
  <c r="I59" i="3" s="1"/>
  <c r="E59" i="3"/>
  <c r="E58" i="3"/>
  <c r="G58" i="3" s="1"/>
  <c r="I58" i="3" s="1"/>
  <c r="G57" i="3"/>
  <c r="I57" i="3" s="1"/>
  <c r="E57" i="3"/>
  <c r="E56" i="3"/>
  <c r="G56" i="3" s="1"/>
  <c r="I56" i="3" s="1"/>
  <c r="G55" i="3"/>
  <c r="I55" i="3" s="1"/>
  <c r="E55" i="3"/>
  <c r="E54" i="3"/>
  <c r="G54" i="3" s="1"/>
  <c r="I54" i="3" s="1"/>
  <c r="G53" i="3"/>
  <c r="I53" i="3" s="1"/>
  <c r="E53" i="3"/>
  <c r="E52" i="3"/>
  <c r="G52" i="3" s="1"/>
  <c r="I52" i="3" s="1"/>
  <c r="G51" i="3"/>
  <c r="I51" i="3" s="1"/>
  <c r="E51" i="3"/>
  <c r="E50" i="3"/>
  <c r="G50" i="3" s="1"/>
  <c r="I50" i="3" s="1"/>
  <c r="G49" i="3"/>
  <c r="I49" i="3" s="1"/>
  <c r="E49" i="3"/>
  <c r="E48" i="3"/>
  <c r="G48" i="3" s="1"/>
  <c r="I48" i="3" s="1"/>
  <c r="G47" i="3"/>
  <c r="I47" i="3" s="1"/>
  <c r="E47" i="3"/>
  <c r="E46" i="3"/>
  <c r="G46" i="3" s="1"/>
  <c r="I46" i="3" s="1"/>
  <c r="G45" i="3"/>
  <c r="I45" i="3" s="1"/>
  <c r="E45" i="3"/>
  <c r="E44" i="3"/>
  <c r="G44" i="3" s="1"/>
  <c r="I44" i="3" s="1"/>
  <c r="G43" i="3"/>
  <c r="I43" i="3" s="1"/>
  <c r="E43" i="3"/>
  <c r="E42" i="3"/>
  <c r="G42" i="3" s="1"/>
  <c r="I42" i="3" s="1"/>
  <c r="G41" i="3"/>
  <c r="I41" i="3" s="1"/>
  <c r="E41" i="3"/>
  <c r="E40" i="3"/>
  <c r="G40" i="3" s="1"/>
  <c r="I40" i="3" s="1"/>
  <c r="G39" i="3"/>
  <c r="I39" i="3" s="1"/>
  <c r="E39" i="3"/>
  <c r="E38" i="3"/>
  <c r="G38" i="3" s="1"/>
  <c r="I38" i="3" s="1"/>
  <c r="G37" i="3"/>
  <c r="I37" i="3" s="1"/>
  <c r="E37" i="3"/>
  <c r="E36" i="3"/>
  <c r="G36" i="3" s="1"/>
  <c r="I36" i="3" s="1"/>
  <c r="G35" i="3"/>
  <c r="I35" i="3" s="1"/>
  <c r="E35" i="3"/>
  <c r="E34" i="3"/>
  <c r="G34" i="3" s="1"/>
  <c r="I34" i="3" s="1"/>
  <c r="G33" i="3"/>
  <c r="I33" i="3" s="1"/>
  <c r="E33" i="3"/>
  <c r="E32" i="3"/>
  <c r="G32" i="3" s="1"/>
  <c r="I32" i="3" s="1"/>
  <c r="G31" i="3"/>
  <c r="I31" i="3" s="1"/>
  <c r="E31" i="3"/>
  <c r="E30" i="3"/>
  <c r="G30" i="3" s="1"/>
  <c r="I30" i="3" s="1"/>
  <c r="G29" i="3"/>
  <c r="I29" i="3" s="1"/>
  <c r="E29" i="3"/>
  <c r="E28" i="3"/>
  <c r="G28" i="3" s="1"/>
  <c r="I28" i="3" s="1"/>
  <c r="G27" i="3"/>
  <c r="I27" i="3" s="1"/>
  <c r="E27" i="3"/>
  <c r="E26" i="3"/>
  <c r="G26" i="3" s="1"/>
  <c r="I26" i="3" s="1"/>
  <c r="G25" i="3"/>
  <c r="I25" i="3" s="1"/>
  <c r="E25" i="3"/>
  <c r="E24" i="3"/>
  <c r="G24" i="3" s="1"/>
  <c r="I24" i="3" s="1"/>
  <c r="G23" i="3"/>
  <c r="I23" i="3" s="1"/>
  <c r="E23" i="3"/>
  <c r="E22" i="3"/>
  <c r="G22" i="3" s="1"/>
  <c r="I22" i="3" s="1"/>
  <c r="G21" i="3"/>
  <c r="I21" i="3" s="1"/>
  <c r="E21" i="3"/>
  <c r="E20" i="3"/>
  <c r="G20" i="3" s="1"/>
  <c r="I20" i="3" s="1"/>
  <c r="G19" i="3"/>
  <c r="I19" i="3" s="1"/>
  <c r="E19" i="3"/>
  <c r="G18" i="3"/>
  <c r="I18" i="3" s="1"/>
  <c r="K11" i="3"/>
  <c r="E69" i="2"/>
  <c r="E40" i="2"/>
  <c r="E29" i="2"/>
  <c r="G22" i="12" l="1"/>
  <c r="I140" i="3"/>
  <c r="G142" i="3" s="1"/>
  <c r="G140" i="3"/>
  <c r="Y21" i="5"/>
  <c r="U22" i="5"/>
  <c r="Y22" i="5" s="1"/>
  <c r="W20" i="5"/>
  <c r="V20" i="5" s="1"/>
  <c r="Y20" i="5" s="1"/>
  <c r="W19" i="5"/>
  <c r="V19" i="5" s="1"/>
  <c r="Y19" i="5" s="1"/>
  <c r="W14" i="5" l="1"/>
  <c r="W15" i="5"/>
  <c r="V15" i="5" s="1"/>
  <c r="W16" i="5"/>
  <c r="V16" i="5" s="1"/>
  <c r="Y12" i="5"/>
  <c r="V40" i="5" l="1"/>
  <c r="U40" i="5"/>
  <c r="F26" i="11" l="1"/>
  <c r="F9" i="11"/>
  <c r="F18" i="11"/>
  <c r="F17" i="11"/>
  <c r="F14" i="11"/>
  <c r="F11" i="11"/>
  <c r="F10" i="11"/>
  <c r="L13" i="5"/>
  <c r="I17" i="9" l="1"/>
  <c r="E18" i="9"/>
  <c r="G18" i="9" s="1"/>
  <c r="E19" i="9"/>
  <c r="G19" i="9" s="1"/>
  <c r="I19" i="9" s="1"/>
  <c r="E20" i="9"/>
  <c r="G20" i="9" s="1"/>
  <c r="I20" i="9" s="1"/>
  <c r="E21" i="9"/>
  <c r="G21" i="9" s="1"/>
  <c r="I21" i="9" s="1"/>
  <c r="E22" i="9"/>
  <c r="G22" i="9"/>
  <c r="I22" i="9" s="1"/>
  <c r="E23" i="9"/>
  <c r="G23" i="9" s="1"/>
  <c r="I23" i="9" s="1"/>
  <c r="E24" i="9"/>
  <c r="G24" i="9" s="1"/>
  <c r="I24" i="9" s="1"/>
  <c r="E25" i="9"/>
  <c r="G25" i="9" s="1"/>
  <c r="I25" i="9" s="1"/>
  <c r="E26" i="9"/>
  <c r="G26" i="9" s="1"/>
  <c r="I26" i="9" s="1"/>
  <c r="E27" i="9"/>
  <c r="G27" i="9" s="1"/>
  <c r="I27" i="9" s="1"/>
  <c r="E28" i="9"/>
  <c r="G28" i="9" s="1"/>
  <c r="I28" i="9" s="1"/>
  <c r="E29" i="9"/>
  <c r="G29" i="9" s="1"/>
  <c r="I29" i="9" s="1"/>
  <c r="E30" i="9"/>
  <c r="G30" i="9" s="1"/>
  <c r="I30" i="9" s="1"/>
  <c r="E31" i="9"/>
  <c r="G31" i="9" s="1"/>
  <c r="I31" i="9" s="1"/>
  <c r="E32" i="9"/>
  <c r="G32" i="9"/>
  <c r="I32" i="9" s="1"/>
  <c r="E33" i="9"/>
  <c r="G33" i="9" s="1"/>
  <c r="I33" i="9" s="1"/>
  <c r="E34" i="9"/>
  <c r="G34" i="9" s="1"/>
  <c r="I34" i="9" s="1"/>
  <c r="E35" i="9"/>
  <c r="G35" i="9" s="1"/>
  <c r="I35" i="9" s="1"/>
  <c r="E36" i="9"/>
  <c r="G36" i="9" s="1"/>
  <c r="I36" i="9" s="1"/>
  <c r="E37" i="9"/>
  <c r="G37" i="9" s="1"/>
  <c r="I37" i="9" s="1"/>
  <c r="E38" i="9"/>
  <c r="G38" i="9" s="1"/>
  <c r="I38" i="9" s="1"/>
  <c r="E39" i="9"/>
  <c r="G39" i="9" s="1"/>
  <c r="I39" i="9" s="1"/>
  <c r="E40" i="9"/>
  <c r="G40" i="9" s="1"/>
  <c r="I40" i="9" s="1"/>
  <c r="E41" i="9"/>
  <c r="G41" i="9" s="1"/>
  <c r="I41" i="9" s="1"/>
  <c r="E42" i="9"/>
  <c r="G42" i="9" s="1"/>
  <c r="I42" i="9" s="1"/>
  <c r="E43" i="9"/>
  <c r="G43" i="9" s="1"/>
  <c r="I43" i="9" s="1"/>
  <c r="E44" i="9"/>
  <c r="G44" i="9" s="1"/>
  <c r="I44" i="9" s="1"/>
  <c r="E45" i="9"/>
  <c r="G45" i="9" s="1"/>
  <c r="I45" i="9" s="1"/>
  <c r="E46" i="9"/>
  <c r="G46" i="9" s="1"/>
  <c r="I46" i="9" s="1"/>
  <c r="E47" i="9"/>
  <c r="G47" i="9" s="1"/>
  <c r="I47" i="9" s="1"/>
  <c r="E48" i="9"/>
  <c r="G48" i="9" s="1"/>
  <c r="I48" i="9" s="1"/>
  <c r="E49" i="9"/>
  <c r="G49" i="9" s="1"/>
  <c r="I49" i="9" s="1"/>
  <c r="E50" i="9"/>
  <c r="G50" i="9" s="1"/>
  <c r="I50" i="9" s="1"/>
  <c r="E51" i="9"/>
  <c r="G51" i="9" s="1"/>
  <c r="I51" i="9" s="1"/>
  <c r="E52" i="9"/>
  <c r="G52" i="9" s="1"/>
  <c r="I52" i="9" s="1"/>
  <c r="E53" i="9"/>
  <c r="G53" i="9" s="1"/>
  <c r="I53" i="9" s="1"/>
  <c r="E54" i="9"/>
  <c r="G54" i="9" s="1"/>
  <c r="I54" i="9" s="1"/>
  <c r="E55" i="9"/>
  <c r="G55" i="9" s="1"/>
  <c r="I55" i="9" s="1"/>
  <c r="E56" i="9"/>
  <c r="G56" i="9" s="1"/>
  <c r="I56" i="9" s="1"/>
  <c r="E57" i="9"/>
  <c r="G57" i="9" s="1"/>
  <c r="I57" i="9" s="1"/>
  <c r="E58" i="9"/>
  <c r="G58" i="9" s="1"/>
  <c r="I58" i="9" s="1"/>
  <c r="E59" i="9"/>
  <c r="G59" i="9" s="1"/>
  <c r="I59" i="9" s="1"/>
  <c r="E60" i="9"/>
  <c r="G60" i="9" s="1"/>
  <c r="I60" i="9" s="1"/>
  <c r="E61" i="9"/>
  <c r="G61" i="9" s="1"/>
  <c r="I61" i="9" s="1"/>
  <c r="E62" i="9"/>
  <c r="G62" i="9" s="1"/>
  <c r="I62" i="9" s="1"/>
  <c r="E63" i="9"/>
  <c r="G63" i="9" s="1"/>
  <c r="I63" i="9" s="1"/>
  <c r="E64" i="9"/>
  <c r="G64" i="9" s="1"/>
  <c r="I64" i="9" s="1"/>
  <c r="G65" i="9" l="1"/>
  <c r="I18" i="9"/>
  <c r="I65" i="9" s="1"/>
  <c r="C39" i="11"/>
  <c r="F16" i="11" s="1"/>
  <c r="G67" i="9" l="1"/>
  <c r="P19" i="5"/>
  <c r="L43" i="5" l="1"/>
  <c r="F25" i="11" s="1"/>
  <c r="AF48" i="5" l="1"/>
  <c r="AF47" i="5"/>
  <c r="AF46" i="5"/>
  <c r="AF45" i="5"/>
  <c r="AF44" i="5"/>
  <c r="AF43" i="5"/>
  <c r="AF42" i="5"/>
  <c r="AF41" i="5"/>
  <c r="N49" i="5"/>
  <c r="N48" i="5"/>
  <c r="N47" i="5"/>
  <c r="N46" i="5"/>
  <c r="N45" i="5"/>
  <c r="N44" i="5"/>
  <c r="N42" i="5"/>
  <c r="N40" i="5"/>
  <c r="K131" i="7" l="1"/>
  <c r="G130" i="7"/>
  <c r="I130" i="7" s="1"/>
  <c r="G129" i="7"/>
  <c r="I129" i="7" s="1"/>
  <c r="G128" i="7"/>
  <c r="I128" i="7" s="1"/>
  <c r="G127" i="7"/>
  <c r="I127" i="7" s="1"/>
  <c r="G126" i="7"/>
  <c r="I126" i="7" s="1"/>
  <c r="G125" i="7"/>
  <c r="I125" i="7" s="1"/>
  <c r="G124" i="7"/>
  <c r="I124" i="7" s="1"/>
  <c r="G123" i="7"/>
  <c r="I123" i="7" s="1"/>
  <c r="G122" i="7"/>
  <c r="I122" i="7" s="1"/>
  <c r="G121" i="7"/>
  <c r="I121" i="7" s="1"/>
  <c r="G120" i="7"/>
  <c r="I120" i="7" s="1"/>
  <c r="G119" i="7"/>
  <c r="I119" i="7" s="1"/>
  <c r="G118" i="7"/>
  <c r="I118" i="7" s="1"/>
  <c r="G117" i="7"/>
  <c r="I117" i="7" s="1"/>
  <c r="G116" i="7"/>
  <c r="I116" i="7" s="1"/>
  <c r="G115" i="7"/>
  <c r="I115" i="7" s="1"/>
  <c r="G114" i="7"/>
  <c r="I114" i="7" s="1"/>
  <c r="G113" i="7"/>
  <c r="I113" i="7" s="1"/>
  <c r="G112" i="7"/>
  <c r="I112" i="7" s="1"/>
  <c r="G108" i="7"/>
  <c r="I108" i="7" s="1"/>
  <c r="G107" i="7"/>
  <c r="I107" i="7" s="1"/>
  <c r="G106" i="7"/>
  <c r="I106" i="7" s="1"/>
  <c r="G105" i="7"/>
  <c r="I105" i="7" s="1"/>
  <c r="G104" i="7"/>
  <c r="I104" i="7" s="1"/>
  <c r="G98" i="7"/>
  <c r="I98" i="7" s="1"/>
  <c r="G97" i="7"/>
  <c r="I97" i="7" s="1"/>
  <c r="G74" i="7"/>
  <c r="I74" i="7" s="1"/>
  <c r="G69" i="7"/>
  <c r="I69" i="7" s="1"/>
  <c r="E111" i="7"/>
  <c r="G111" i="7" s="1"/>
  <c r="I111" i="7" s="1"/>
  <c r="G47" i="7"/>
  <c r="I47" i="7" s="1"/>
  <c r="E27" i="5" l="1"/>
  <c r="E28" i="5"/>
  <c r="D28" i="5" s="1"/>
  <c r="E29" i="5"/>
  <c r="D29" i="5" s="1"/>
  <c r="E31" i="5"/>
  <c r="E32" i="5"/>
  <c r="D32" i="5" s="1"/>
  <c r="E33" i="5"/>
  <c r="D33" i="5" s="1"/>
  <c r="E35" i="5"/>
  <c r="C10" i="5"/>
  <c r="AD10" i="5"/>
  <c r="U10" i="5"/>
  <c r="L10" i="5"/>
  <c r="D35" i="5" l="1"/>
  <c r="D31" i="5"/>
  <c r="D27" i="5"/>
  <c r="E25" i="5"/>
  <c r="D25" i="5" s="1"/>
  <c r="E30" i="5"/>
  <c r="D30" i="5" s="1"/>
  <c r="E26" i="5"/>
  <c r="D26" i="5" s="1"/>
  <c r="E34" i="5"/>
  <c r="D34" i="5" s="1"/>
  <c r="AF14" i="5"/>
  <c r="AF13" i="5"/>
  <c r="AF12" i="5"/>
  <c r="AE12" i="5" s="1"/>
  <c r="W25" i="5"/>
  <c r="V25" i="5" s="1"/>
  <c r="W24" i="5"/>
  <c r="V24" i="5" s="1"/>
  <c r="W23" i="5"/>
  <c r="V23" i="5" s="1"/>
  <c r="O12" i="5"/>
  <c r="G109" i="7" l="1"/>
  <c r="I109" i="7"/>
  <c r="E110" i="7"/>
  <c r="G110" i="7" s="1"/>
  <c r="I110" i="7" s="1"/>
  <c r="Q13" i="7" l="1"/>
  <c r="Q11" i="7"/>
  <c r="C69" i="8" l="1"/>
  <c r="I15" i="6"/>
  <c r="I12" i="6" l="1"/>
  <c r="E103" i="7" l="1"/>
  <c r="E102" i="7"/>
  <c r="E101" i="7"/>
  <c r="E100" i="7"/>
  <c r="E96" i="7"/>
  <c r="E95" i="7"/>
  <c r="E94" i="7"/>
  <c r="E93" i="7"/>
  <c r="E92" i="7"/>
  <c r="E91" i="7"/>
  <c r="E90" i="7"/>
  <c r="E89" i="7"/>
  <c r="E88" i="7"/>
  <c r="E87" i="7"/>
  <c r="E86" i="7"/>
  <c r="E85" i="7"/>
  <c r="D40" i="5" l="1"/>
  <c r="C40" i="5" s="1"/>
  <c r="D9" i="1" s="1"/>
  <c r="I14" i="6" l="1"/>
  <c r="I13" i="6"/>
  <c r="I11" i="6"/>
  <c r="I10" i="6"/>
  <c r="I9" i="6"/>
  <c r="I8" i="6"/>
  <c r="G87" i="7" l="1"/>
  <c r="D12" i="8" l="1"/>
  <c r="S1" i="8" l="1"/>
  <c r="R1" i="8"/>
  <c r="N1" i="8"/>
  <c r="M1" i="8"/>
  <c r="I1" i="8"/>
  <c r="H1" i="8"/>
  <c r="D1" i="8"/>
  <c r="C1" i="8"/>
  <c r="D19" i="1" l="1"/>
  <c r="D20" i="1"/>
  <c r="AG10" i="5"/>
  <c r="AG9" i="5"/>
  <c r="AD9" i="5"/>
  <c r="X10" i="5"/>
  <c r="X9" i="5"/>
  <c r="U9" i="5"/>
  <c r="AE9" i="5"/>
  <c r="V10" i="5"/>
  <c r="V9" i="5"/>
  <c r="N35" i="5"/>
  <c r="O35" i="5" s="1"/>
  <c r="N34" i="5"/>
  <c r="O34" i="5" s="1"/>
  <c r="N33" i="5"/>
  <c r="O33" i="5" s="1"/>
  <c r="N32" i="5"/>
  <c r="O32" i="5" s="1"/>
  <c r="N31" i="5"/>
  <c r="O31" i="5" s="1"/>
  <c r="N30" i="5"/>
  <c r="O30" i="5" s="1"/>
  <c r="N29" i="5"/>
  <c r="O29" i="5" s="1"/>
  <c r="N28" i="5"/>
  <c r="O28" i="5" s="1"/>
  <c r="N27" i="5"/>
  <c r="O27" i="5" s="1"/>
  <c r="N26" i="5"/>
  <c r="O26" i="5" s="1"/>
  <c r="N25" i="5"/>
  <c r="O25" i="5" s="1"/>
  <c r="AE10" i="5" l="1"/>
  <c r="AF9" i="5"/>
  <c r="W9" i="5"/>
  <c r="AH25" i="5"/>
  <c r="AH24" i="5"/>
  <c r="AH23" i="5"/>
  <c r="AH22" i="5"/>
  <c r="AH21" i="5"/>
  <c r="AH20" i="5"/>
  <c r="AH19" i="5"/>
  <c r="AH18" i="5"/>
  <c r="AH17" i="5"/>
  <c r="AH16" i="5"/>
  <c r="AH14" i="5"/>
  <c r="AH13" i="5"/>
  <c r="AH12" i="5"/>
  <c r="G5" i="1"/>
  <c r="G3" i="1"/>
  <c r="Y25" i="5"/>
  <c r="Y24" i="5"/>
  <c r="Y23" i="5"/>
  <c r="Y18" i="5"/>
  <c r="Y17" i="5"/>
  <c r="Y16" i="5"/>
  <c r="Y15" i="5"/>
  <c r="Y13" i="5"/>
  <c r="F3" i="1"/>
  <c r="M35" i="5"/>
  <c r="P35" i="5" s="1"/>
  <c r="M34" i="5"/>
  <c r="P34" i="5" s="1"/>
  <c r="M33" i="5"/>
  <c r="P33" i="5" s="1"/>
  <c r="M32" i="5"/>
  <c r="P32" i="5" s="1"/>
  <c r="M31" i="5"/>
  <c r="P31" i="5" s="1"/>
  <c r="M30" i="5"/>
  <c r="P30" i="5" s="1"/>
  <c r="M29" i="5"/>
  <c r="P29" i="5" s="1"/>
  <c r="M28" i="5"/>
  <c r="P28" i="5" s="1"/>
  <c r="M27" i="5"/>
  <c r="P27" i="5" s="1"/>
  <c r="M26" i="5"/>
  <c r="P26" i="5" s="1"/>
  <c r="M25" i="5"/>
  <c r="P25" i="5" s="1"/>
  <c r="P12" i="5"/>
  <c r="D20" i="5"/>
  <c r="G20" i="5" s="1"/>
  <c r="D18" i="5"/>
  <c r="G18" i="5" s="1"/>
  <c r="D16" i="5"/>
  <c r="G16" i="5" s="1"/>
  <c r="D12" i="5"/>
  <c r="G12" i="5" s="1"/>
  <c r="F5" i="1"/>
  <c r="F9" i="5"/>
  <c r="D5" i="1" s="1"/>
  <c r="AH15" i="5" l="1"/>
  <c r="AH9" i="5" s="1"/>
  <c r="Y14" i="5"/>
  <c r="Y9" i="5" s="1"/>
  <c r="G6" i="1"/>
  <c r="F6" i="1"/>
  <c r="K82" i="2"/>
  <c r="F14" i="1" s="1"/>
  <c r="E81" i="2"/>
  <c r="G81" i="2" s="1"/>
  <c r="I81" i="2" s="1"/>
  <c r="E80" i="2"/>
  <c r="G80" i="2" s="1"/>
  <c r="I80" i="2" s="1"/>
  <c r="E79" i="2"/>
  <c r="G79" i="2" s="1"/>
  <c r="I79" i="2" s="1"/>
  <c r="E78" i="2"/>
  <c r="G78" i="2" s="1"/>
  <c r="I78" i="2" s="1"/>
  <c r="E77" i="2"/>
  <c r="G77" i="2" s="1"/>
  <c r="I77" i="2" s="1"/>
  <c r="E76" i="2"/>
  <c r="G76" i="2" s="1"/>
  <c r="I76" i="2" s="1"/>
  <c r="E75" i="2"/>
  <c r="G75" i="2" s="1"/>
  <c r="I75" i="2" s="1"/>
  <c r="E74" i="2"/>
  <c r="G74" i="2" s="1"/>
  <c r="I74" i="2" s="1"/>
  <c r="E73" i="2"/>
  <c r="G73" i="2" s="1"/>
  <c r="I73" i="2" s="1"/>
  <c r="E72" i="2"/>
  <c r="G72" i="2" s="1"/>
  <c r="I72" i="2" s="1"/>
  <c r="E71" i="2"/>
  <c r="G71" i="2" s="1"/>
  <c r="I71" i="2" s="1"/>
  <c r="E70" i="2"/>
  <c r="G70" i="2" s="1"/>
  <c r="I70" i="2" s="1"/>
  <c r="G69" i="2"/>
  <c r="I69" i="2" s="1"/>
  <c r="E68" i="2"/>
  <c r="G68" i="2" s="1"/>
  <c r="I68" i="2" s="1"/>
  <c r="E67" i="2"/>
  <c r="G67" i="2" s="1"/>
  <c r="I67" i="2" s="1"/>
  <c r="E66" i="2"/>
  <c r="G66" i="2" s="1"/>
  <c r="I66" i="2" s="1"/>
  <c r="E65" i="2"/>
  <c r="G65" i="2" s="1"/>
  <c r="I65" i="2" s="1"/>
  <c r="E64" i="2"/>
  <c r="G64" i="2" s="1"/>
  <c r="I64" i="2" s="1"/>
  <c r="E63" i="2"/>
  <c r="G63" i="2" s="1"/>
  <c r="I63" i="2" s="1"/>
  <c r="E62" i="2"/>
  <c r="G62" i="2" s="1"/>
  <c r="I62" i="2" s="1"/>
  <c r="E61" i="2"/>
  <c r="G61" i="2" s="1"/>
  <c r="I61" i="2" s="1"/>
  <c r="E60" i="2"/>
  <c r="G60" i="2" s="1"/>
  <c r="I60" i="2" s="1"/>
  <c r="E59" i="2"/>
  <c r="G59" i="2" s="1"/>
  <c r="I59" i="2" s="1"/>
  <c r="E58" i="2"/>
  <c r="G58" i="2" s="1"/>
  <c r="I58" i="2" s="1"/>
  <c r="E57" i="2"/>
  <c r="G57" i="2" s="1"/>
  <c r="I57" i="2" s="1"/>
  <c r="E56" i="2"/>
  <c r="G56" i="2" s="1"/>
  <c r="I56" i="2" s="1"/>
  <c r="E55" i="2"/>
  <c r="G55" i="2" s="1"/>
  <c r="I55" i="2" s="1"/>
  <c r="E54" i="2"/>
  <c r="G54" i="2" s="1"/>
  <c r="I54" i="2" s="1"/>
  <c r="E53" i="2"/>
  <c r="G53" i="2" s="1"/>
  <c r="I53" i="2" s="1"/>
  <c r="E52" i="2"/>
  <c r="G52" i="2" s="1"/>
  <c r="I52" i="2" s="1"/>
  <c r="E51" i="2"/>
  <c r="G51" i="2" s="1"/>
  <c r="I51" i="2" s="1"/>
  <c r="E50" i="2"/>
  <c r="G50" i="2" s="1"/>
  <c r="I50" i="2" s="1"/>
  <c r="E49" i="2"/>
  <c r="G49" i="2" s="1"/>
  <c r="I49" i="2" s="1"/>
  <c r="E48" i="2"/>
  <c r="G48" i="2" s="1"/>
  <c r="I48" i="2" s="1"/>
  <c r="E47" i="2"/>
  <c r="G47" i="2" s="1"/>
  <c r="I47" i="2" s="1"/>
  <c r="E46" i="2"/>
  <c r="G46" i="2" s="1"/>
  <c r="I46" i="2" s="1"/>
  <c r="E45" i="2"/>
  <c r="G45" i="2" s="1"/>
  <c r="I45" i="2" s="1"/>
  <c r="E44" i="2"/>
  <c r="G44" i="2" s="1"/>
  <c r="I44" i="2" s="1"/>
  <c r="E43" i="2"/>
  <c r="G43" i="2" s="1"/>
  <c r="I43" i="2" s="1"/>
  <c r="E42" i="2"/>
  <c r="G42" i="2" s="1"/>
  <c r="I42" i="2" s="1"/>
  <c r="E41" i="2"/>
  <c r="G41" i="2" s="1"/>
  <c r="I41" i="2" s="1"/>
  <c r="G40" i="2"/>
  <c r="I40" i="2" s="1"/>
  <c r="E39" i="2"/>
  <c r="G39" i="2" s="1"/>
  <c r="I39" i="2" s="1"/>
  <c r="E38" i="2"/>
  <c r="G38" i="2" s="1"/>
  <c r="I38" i="2" s="1"/>
  <c r="E37" i="2"/>
  <c r="G37" i="2" s="1"/>
  <c r="I37" i="2" s="1"/>
  <c r="E36" i="2"/>
  <c r="G36" i="2" s="1"/>
  <c r="I36" i="2" s="1"/>
  <c r="E35" i="2"/>
  <c r="G35" i="2" s="1"/>
  <c r="I35" i="2" s="1"/>
  <c r="E34" i="2"/>
  <c r="G34" i="2" s="1"/>
  <c r="I34" i="2" s="1"/>
  <c r="E33" i="2"/>
  <c r="G33" i="2" s="1"/>
  <c r="I33" i="2" s="1"/>
  <c r="E32" i="2"/>
  <c r="G32" i="2" s="1"/>
  <c r="I32" i="2" s="1"/>
  <c r="E31" i="2"/>
  <c r="G31" i="2" s="1"/>
  <c r="I31" i="2" s="1"/>
  <c r="E30" i="2"/>
  <c r="G30" i="2" s="1"/>
  <c r="I30" i="2" s="1"/>
  <c r="G29" i="2"/>
  <c r="I29" i="2" s="1"/>
  <c r="E28" i="2"/>
  <c r="G28" i="2" s="1"/>
  <c r="I28" i="2" s="1"/>
  <c r="E27" i="2"/>
  <c r="G27" i="2" s="1"/>
  <c r="I27" i="2" s="1"/>
  <c r="E26" i="2"/>
  <c r="G26" i="2" s="1"/>
  <c r="I26" i="2" s="1"/>
  <c r="E25" i="2"/>
  <c r="G25" i="2" s="1"/>
  <c r="I25" i="2" s="1"/>
  <c r="E24" i="2"/>
  <c r="G24" i="2" s="1"/>
  <c r="I24" i="2" s="1"/>
  <c r="E23" i="2"/>
  <c r="G23" i="2" s="1"/>
  <c r="I23" i="2" s="1"/>
  <c r="E22" i="2"/>
  <c r="G22" i="2" s="1"/>
  <c r="I22" i="2" s="1"/>
  <c r="E21" i="2"/>
  <c r="G21" i="2" s="1"/>
  <c r="I21" i="2" s="1"/>
  <c r="E20" i="2"/>
  <c r="G20" i="2" s="1"/>
  <c r="I20" i="2" s="1"/>
  <c r="E19" i="2"/>
  <c r="G19" i="2" s="1"/>
  <c r="I19" i="2" s="1"/>
  <c r="E18" i="2"/>
  <c r="G18" i="2" s="1"/>
  <c r="I18" i="2" s="1"/>
  <c r="E17" i="2"/>
  <c r="G17" i="2" s="1"/>
  <c r="I17" i="2" s="1"/>
  <c r="E16" i="2"/>
  <c r="G16" i="2" s="1"/>
  <c r="I16" i="2" s="1"/>
  <c r="G15" i="2"/>
  <c r="I15" i="2" s="1"/>
  <c r="K11" i="2"/>
  <c r="G101" i="7"/>
  <c r="I101" i="7" s="1"/>
  <c r="G100" i="7"/>
  <c r="I100" i="7" s="1"/>
  <c r="G99" i="7"/>
  <c r="I99" i="7" s="1"/>
  <c r="G96" i="7"/>
  <c r="I96" i="7" s="1"/>
  <c r="G95" i="7"/>
  <c r="I95" i="7" s="1"/>
  <c r="G94" i="7"/>
  <c r="I94" i="7" s="1"/>
  <c r="G93" i="7"/>
  <c r="I93" i="7" s="1"/>
  <c r="G92" i="7"/>
  <c r="I92" i="7" s="1"/>
  <c r="G91" i="7"/>
  <c r="I91" i="7" s="1"/>
  <c r="G90" i="7"/>
  <c r="I90" i="7" s="1"/>
  <c r="G103" i="7"/>
  <c r="I103" i="7" s="1"/>
  <c r="G102" i="7"/>
  <c r="I102" i="7" s="1"/>
  <c r="G89" i="7"/>
  <c r="I89" i="7" s="1"/>
  <c r="G88" i="7"/>
  <c r="I88" i="7" s="1"/>
  <c r="I87" i="7"/>
  <c r="I82" i="2" l="1"/>
  <c r="F15" i="1" s="1"/>
  <c r="G82" i="2"/>
  <c r="G84" i="2" l="1"/>
  <c r="G7" i="1"/>
  <c r="F7" i="1"/>
  <c r="F10" i="5"/>
  <c r="G14" i="1" l="1"/>
  <c r="G12" i="1"/>
  <c r="F12" i="1"/>
  <c r="C7" i="10"/>
  <c r="C7" i="12"/>
  <c r="E7" i="12" s="1"/>
  <c r="C7" i="6"/>
  <c r="E7" i="6" s="1"/>
  <c r="I29" i="1"/>
  <c r="I27" i="1"/>
  <c r="I26" i="1"/>
  <c r="I25" i="1"/>
  <c r="I24" i="1"/>
  <c r="I22" i="1"/>
  <c r="I21" i="1"/>
  <c r="I20" i="1"/>
  <c r="I19" i="1"/>
  <c r="K65" i="9"/>
  <c r="K11" i="9"/>
  <c r="C75" i="8"/>
  <c r="D65" i="8" s="1"/>
  <c r="E9" i="1"/>
  <c r="G4" i="1"/>
  <c r="F4" i="1"/>
  <c r="E7" i="10" l="1"/>
  <c r="G11" i="1"/>
  <c r="E14" i="1"/>
  <c r="C53" i="11"/>
  <c r="F19" i="11" s="1"/>
  <c r="I14" i="1"/>
  <c r="I5" i="6"/>
  <c r="K5" i="6" s="1"/>
  <c r="D11" i="1"/>
  <c r="F11" i="1"/>
  <c r="K11" i="7"/>
  <c r="I17" i="7"/>
  <c r="E18" i="7"/>
  <c r="G18" i="7" s="1"/>
  <c r="E19" i="7"/>
  <c r="G19" i="7" s="1"/>
  <c r="I19" i="7" s="1"/>
  <c r="E20" i="7"/>
  <c r="G20" i="7" s="1"/>
  <c r="I20" i="7" s="1"/>
  <c r="E21" i="7"/>
  <c r="G21" i="7" s="1"/>
  <c r="I21" i="7" s="1"/>
  <c r="E22" i="7"/>
  <c r="G22" i="7" s="1"/>
  <c r="I22" i="7" s="1"/>
  <c r="E23" i="7"/>
  <c r="G23" i="7" s="1"/>
  <c r="I23" i="7" s="1"/>
  <c r="E24" i="7"/>
  <c r="G24" i="7" s="1"/>
  <c r="I24" i="7" s="1"/>
  <c r="E25" i="7"/>
  <c r="G25" i="7" s="1"/>
  <c r="I25" i="7" s="1"/>
  <c r="E26" i="7"/>
  <c r="G26" i="7" s="1"/>
  <c r="I26" i="7" s="1"/>
  <c r="E27" i="7"/>
  <c r="G27" i="7" s="1"/>
  <c r="I27" i="7" s="1"/>
  <c r="E28" i="7"/>
  <c r="G28" i="7" s="1"/>
  <c r="I28" i="7" s="1"/>
  <c r="E29" i="7"/>
  <c r="G29" i="7" s="1"/>
  <c r="I29" i="7" s="1"/>
  <c r="E30" i="7"/>
  <c r="G30" i="7" s="1"/>
  <c r="I30" i="7" s="1"/>
  <c r="E31" i="7"/>
  <c r="G31" i="7" s="1"/>
  <c r="I31" i="7" s="1"/>
  <c r="E32" i="7"/>
  <c r="G32" i="7" s="1"/>
  <c r="I32" i="7" s="1"/>
  <c r="E33" i="7"/>
  <c r="G33" i="7" s="1"/>
  <c r="I33" i="7" s="1"/>
  <c r="E34" i="7"/>
  <c r="G34" i="7" s="1"/>
  <c r="I34" i="7" s="1"/>
  <c r="E35" i="7"/>
  <c r="G35" i="7" s="1"/>
  <c r="I35" i="7" s="1"/>
  <c r="E36" i="7"/>
  <c r="G36" i="7" s="1"/>
  <c r="I36" i="7" s="1"/>
  <c r="E37" i="7"/>
  <c r="G37" i="7" s="1"/>
  <c r="I37" i="7" s="1"/>
  <c r="E38" i="7"/>
  <c r="G38" i="7" s="1"/>
  <c r="I38" i="7" s="1"/>
  <c r="E39" i="7"/>
  <c r="G39" i="7" s="1"/>
  <c r="I39" i="7" s="1"/>
  <c r="E40" i="7"/>
  <c r="G40" i="7" s="1"/>
  <c r="I40" i="7" s="1"/>
  <c r="E41" i="7"/>
  <c r="G41" i="7" s="1"/>
  <c r="I41" i="7" s="1"/>
  <c r="E42" i="7"/>
  <c r="G42" i="7" s="1"/>
  <c r="I42" i="7" s="1"/>
  <c r="E43" i="7"/>
  <c r="G43" i="7" s="1"/>
  <c r="I43" i="7" s="1"/>
  <c r="E44" i="7"/>
  <c r="G44" i="7" s="1"/>
  <c r="I44" i="7" s="1"/>
  <c r="E45" i="7"/>
  <c r="G45" i="7" s="1"/>
  <c r="I45" i="7" s="1"/>
  <c r="E46" i="7"/>
  <c r="G46" i="7" s="1"/>
  <c r="I46" i="7" s="1"/>
  <c r="E48" i="7"/>
  <c r="G48" i="7" s="1"/>
  <c r="I48" i="7" s="1"/>
  <c r="E49" i="7"/>
  <c r="G49" i="7" s="1"/>
  <c r="I49" i="7" s="1"/>
  <c r="E50" i="7"/>
  <c r="G50" i="7" s="1"/>
  <c r="I50" i="7" s="1"/>
  <c r="E51" i="7"/>
  <c r="G51" i="7" s="1"/>
  <c r="I51" i="7" s="1"/>
  <c r="E52" i="7"/>
  <c r="G52" i="7" s="1"/>
  <c r="I52" i="7" s="1"/>
  <c r="E53" i="7"/>
  <c r="G53" i="7" s="1"/>
  <c r="I53" i="7" s="1"/>
  <c r="E54" i="7"/>
  <c r="G54" i="7" s="1"/>
  <c r="I54" i="7" s="1"/>
  <c r="E55" i="7"/>
  <c r="G55" i="7" s="1"/>
  <c r="I55" i="7" s="1"/>
  <c r="E56" i="7"/>
  <c r="G56" i="7" s="1"/>
  <c r="I56" i="7" s="1"/>
  <c r="E57" i="7"/>
  <c r="G57" i="7" s="1"/>
  <c r="I57" i="7" s="1"/>
  <c r="E58" i="7"/>
  <c r="G58" i="7" s="1"/>
  <c r="I58" i="7" s="1"/>
  <c r="E59" i="7"/>
  <c r="G59" i="7" s="1"/>
  <c r="I59" i="7" s="1"/>
  <c r="E60" i="7"/>
  <c r="G60" i="7" s="1"/>
  <c r="I60" i="7" s="1"/>
  <c r="E61" i="7"/>
  <c r="G61" i="7" s="1"/>
  <c r="I61" i="7" s="1"/>
  <c r="E62" i="7"/>
  <c r="G62" i="7" s="1"/>
  <c r="I62" i="7" s="1"/>
  <c r="E63" i="7"/>
  <c r="G63" i="7" s="1"/>
  <c r="I63" i="7" s="1"/>
  <c r="E64" i="7"/>
  <c r="G64" i="7" s="1"/>
  <c r="I64" i="7" s="1"/>
  <c r="E65" i="7"/>
  <c r="G65" i="7" s="1"/>
  <c r="I65" i="7" s="1"/>
  <c r="E66" i="7"/>
  <c r="G66" i="7" s="1"/>
  <c r="I66" i="7" s="1"/>
  <c r="E67" i="7"/>
  <c r="G67" i="7" s="1"/>
  <c r="I67" i="7" s="1"/>
  <c r="E68" i="7"/>
  <c r="G68" i="7" s="1"/>
  <c r="I68" i="7" s="1"/>
  <c r="E70" i="7"/>
  <c r="G70" i="7" s="1"/>
  <c r="I70" i="7" s="1"/>
  <c r="E71" i="7"/>
  <c r="G71" i="7" s="1"/>
  <c r="I71" i="7" s="1"/>
  <c r="E72" i="7"/>
  <c r="G72" i="7" s="1"/>
  <c r="I72" i="7" s="1"/>
  <c r="E73" i="7"/>
  <c r="G73" i="7" s="1"/>
  <c r="I73" i="7" s="1"/>
  <c r="E75" i="7"/>
  <c r="G75" i="7" s="1"/>
  <c r="I75" i="7" s="1"/>
  <c r="E76" i="7"/>
  <c r="G76" i="7" s="1"/>
  <c r="I76" i="7" s="1"/>
  <c r="E77" i="7"/>
  <c r="G77" i="7" s="1"/>
  <c r="I77" i="7" s="1"/>
  <c r="E78" i="7"/>
  <c r="G78" i="7" s="1"/>
  <c r="I78" i="7" s="1"/>
  <c r="E79" i="7"/>
  <c r="G79" i="7" s="1"/>
  <c r="I79" i="7" s="1"/>
  <c r="E80" i="7"/>
  <c r="G80" i="7" s="1"/>
  <c r="I80" i="7" s="1"/>
  <c r="E81" i="7"/>
  <c r="G81" i="7" s="1"/>
  <c r="I81" i="7" s="1"/>
  <c r="E82" i="7"/>
  <c r="G82" i="7" s="1"/>
  <c r="I82" i="7" s="1"/>
  <c r="E83" i="7"/>
  <c r="G83" i="7" s="1"/>
  <c r="I83" i="7" s="1"/>
  <c r="E84" i="7"/>
  <c r="G84" i="7" s="1"/>
  <c r="I84" i="7" s="1"/>
  <c r="G85" i="7"/>
  <c r="I85" i="7" s="1"/>
  <c r="G86" i="7"/>
  <c r="I86" i="7" s="1"/>
  <c r="E13" i="5"/>
  <c r="D13" i="5" s="1"/>
  <c r="G13" i="5" s="1"/>
  <c r="E14" i="5"/>
  <c r="D14" i="5" s="1"/>
  <c r="G14" i="5" s="1"/>
  <c r="E15" i="5"/>
  <c r="D15" i="5" s="1"/>
  <c r="G15" i="5" s="1"/>
  <c r="E17" i="5"/>
  <c r="D17" i="5" s="1"/>
  <c r="G17" i="5" s="1"/>
  <c r="E19" i="5"/>
  <c r="D19" i="5" s="1"/>
  <c r="G19" i="5" s="1"/>
  <c r="G22" i="5"/>
  <c r="G23" i="5"/>
  <c r="E24" i="5"/>
  <c r="G24" i="5" s="1"/>
  <c r="G26" i="5"/>
  <c r="G27" i="5"/>
  <c r="G28" i="5"/>
  <c r="G29" i="5"/>
  <c r="G30" i="5"/>
  <c r="G31" i="5"/>
  <c r="G32" i="5"/>
  <c r="G33" i="5"/>
  <c r="G34" i="5"/>
  <c r="G35" i="5"/>
  <c r="G131" i="7" l="1"/>
  <c r="G15" i="1"/>
  <c r="E15" i="1"/>
  <c r="I18" i="7"/>
  <c r="I131" i="7" s="1"/>
  <c r="C76" i="8" s="1"/>
  <c r="G21" i="5" l="1"/>
  <c r="G133" i="7"/>
  <c r="I15" i="1"/>
  <c r="E10" i="5"/>
  <c r="C9" i="5"/>
  <c r="D3" i="1" s="1"/>
  <c r="E9" i="5" l="1"/>
  <c r="D6" i="1" s="1"/>
  <c r="D10" i="5"/>
  <c r="D9" i="5"/>
  <c r="G25" i="5"/>
  <c r="G9" i="5" s="1"/>
  <c r="D7" i="1" s="1"/>
  <c r="D4" i="1" l="1"/>
  <c r="P13" i="5" l="1"/>
  <c r="M20" i="5"/>
  <c r="P20" i="5" s="1"/>
  <c r="P16" i="5"/>
  <c r="P15" i="5"/>
  <c r="P23" i="5"/>
  <c r="P17" i="5"/>
  <c r="P21" i="5"/>
  <c r="N24" i="5"/>
  <c r="O24" i="5" s="1"/>
  <c r="M24" i="5" s="1"/>
  <c r="P24" i="5" s="1"/>
  <c r="P22" i="5"/>
  <c r="P18" i="5"/>
  <c r="L9" i="5"/>
  <c r="E3" i="1" l="1"/>
  <c r="I3" i="1" s="1"/>
  <c r="F24" i="11"/>
  <c r="N9" i="5"/>
  <c r="E6" i="1" s="1"/>
  <c r="I6" i="1" s="1"/>
  <c r="P14" i="5"/>
  <c r="P9" i="5" s="1"/>
  <c r="E7" i="1" s="1"/>
  <c r="I7" i="1" s="1"/>
  <c r="M10" i="5"/>
  <c r="G25" i="12" s="1"/>
  <c r="M9" i="5"/>
  <c r="C54" i="11" s="1"/>
  <c r="N10" i="5"/>
  <c r="F13" i="11" l="1"/>
  <c r="C6" i="11"/>
  <c r="E11" i="1" s="1"/>
  <c r="I11" i="1" s="1"/>
  <c r="K3" i="1" s="1"/>
  <c r="O10" i="5"/>
  <c r="O9" i="5"/>
  <c r="E5" i="1" s="1"/>
  <c r="I5" i="1" s="1"/>
  <c r="F21" i="11" l="1"/>
  <c r="E12" i="1" s="1"/>
  <c r="I12" i="1" s="1"/>
  <c r="E4" i="1"/>
  <c r="I4" i="1" s="1"/>
  <c r="W10" i="5"/>
  <c r="F9" i="1"/>
  <c r="G9" i="1"/>
  <c r="AF40" i="5"/>
  <c r="AF10" i="5" s="1"/>
  <c r="I9" i="1" l="1"/>
  <c r="K7" i="1" s="1"/>
  <c r="K11" i="1" l="1"/>
</calcChain>
</file>

<file path=xl/sharedStrings.xml><?xml version="1.0" encoding="utf-8"?>
<sst xmlns="http://schemas.openxmlformats.org/spreadsheetml/2006/main" count="1492" uniqueCount="422">
  <si>
    <t>set aside for tax</t>
  </si>
  <si>
    <t>take-home</t>
  </si>
  <si>
    <t>Date</t>
  </si>
  <si>
    <t>GST 10%</t>
  </si>
  <si>
    <t>average</t>
  </si>
  <si>
    <t>Activated 13/07/2011</t>
  </si>
  <si>
    <t xml:space="preserve">(ASIC)152 083 997  </t>
  </si>
  <si>
    <t>(MANTILLA MEDICAL PTY LTD)</t>
  </si>
  <si>
    <t>43 152 083 997</t>
  </si>
  <si>
    <t>ABN 2nd</t>
  </si>
  <si>
    <t>(sole trader)</t>
  </si>
  <si>
    <t>35 674 757 463</t>
  </si>
  <si>
    <t>ABN 1st</t>
  </si>
  <si>
    <t>Mens Shirt</t>
  </si>
  <si>
    <t>Polo Shirts</t>
  </si>
  <si>
    <t>Dry Cleaning</t>
  </si>
  <si>
    <t xml:space="preserve"> 23273 to 23305 (32kms)</t>
  </si>
  <si>
    <t>CAPTIVA travel</t>
  </si>
  <si>
    <t>travel for dry cleaning</t>
  </si>
  <si>
    <t>virgin mobile</t>
  </si>
  <si>
    <t>Gentlemens OutFitters - suits</t>
  </si>
  <si>
    <t>envelopes (kmart)</t>
  </si>
  <si>
    <t>Car Wash</t>
  </si>
  <si>
    <t>22967 to 23140 (173kms)</t>
  </si>
  <si>
    <t>Conference and Cessnock Hospital patient Visit</t>
  </si>
  <si>
    <t>13/08/2011-14/08/2011</t>
  </si>
  <si>
    <t>Dinner</t>
  </si>
  <si>
    <t xml:space="preserve">Crowne Plaza hunter valley-Boreinger Conference </t>
  </si>
  <si>
    <t>13/08/2011 - 14/08/2011</t>
  </si>
  <si>
    <t>dental/surgical/medical loupes</t>
  </si>
  <si>
    <t>AHPRA registration renewal</t>
  </si>
  <si>
    <t>exetel - phone / internet</t>
  </si>
  <si>
    <t>IPA accountants</t>
  </si>
  <si>
    <t>22220 to 22390 (170kms)</t>
  </si>
  <si>
    <t>Drive to see Financial Adviser - Eastwood</t>
  </si>
  <si>
    <t>financial diary/whiteboard marker</t>
  </si>
  <si>
    <t>RACGP registration</t>
  </si>
  <si>
    <t>(doctors Bag)</t>
  </si>
  <si>
    <t>BigW</t>
  </si>
  <si>
    <t>exetel internet</t>
  </si>
  <si>
    <t>up to date</t>
  </si>
  <si>
    <t>Business expenses</t>
  </si>
  <si>
    <t>(Business KM's / Total KM's)</t>
  </si>
  <si>
    <t>Business Percentage:</t>
  </si>
  <si>
    <t>Sub Total:</t>
  </si>
  <si>
    <t>Business</t>
  </si>
  <si>
    <t>Home-Surg-Home</t>
  </si>
  <si>
    <t>Home-Wyong-Home</t>
  </si>
  <si>
    <t>Opening bank/visit Business car</t>
  </si>
  <si>
    <t>Hospital to Home</t>
  </si>
  <si>
    <t>Home-Surg</t>
  </si>
  <si>
    <t>Surgery to Home</t>
  </si>
  <si>
    <t>Hospital to Surgery</t>
  </si>
  <si>
    <t>Surgery to Hospital</t>
  </si>
  <si>
    <t>Home to Surgery</t>
  </si>
  <si>
    <t>Documents to Justice of Peace and back home</t>
  </si>
  <si>
    <t>Wyong Hospital to Home</t>
  </si>
  <si>
    <t>Home to Wyong Hospital</t>
  </si>
  <si>
    <t>Tax Accountant (Sydney) to Home</t>
  </si>
  <si>
    <t>Home to Tax Accountant (Sydney)</t>
  </si>
  <si>
    <t>Expenses</t>
  </si>
  <si>
    <t>Odometer</t>
  </si>
  <si>
    <t>End</t>
  </si>
  <si>
    <t>Start</t>
  </si>
  <si>
    <t>Time</t>
  </si>
  <si>
    <t>Date of Journey</t>
  </si>
  <si>
    <t>FUEL / others</t>
  </si>
  <si>
    <t>Business KMs</t>
  </si>
  <si>
    <t xml:space="preserve"> Purpose</t>
  </si>
  <si>
    <t>Kilometres</t>
  </si>
  <si>
    <t>Purpose of Journey</t>
  </si>
  <si>
    <t>Total</t>
  </si>
  <si>
    <t>BBP87T</t>
  </si>
  <si>
    <t>Registration Number:</t>
  </si>
  <si>
    <r>
      <t>Engine Capacity</t>
    </r>
    <r>
      <rPr>
        <sz val="10"/>
        <rFont val="Arial"/>
        <family val="2"/>
      </rPr>
      <t xml:space="preserve">:                                 </t>
    </r>
  </si>
  <si>
    <t>CRV MY07</t>
  </si>
  <si>
    <t>Model:</t>
  </si>
  <si>
    <t>Honda</t>
  </si>
  <si>
    <r>
      <t>Car Make</t>
    </r>
    <r>
      <rPr>
        <sz val="10"/>
        <rFont val="Arial"/>
        <family val="2"/>
      </rPr>
      <t xml:space="preserve">:                                              </t>
    </r>
    <r>
      <rPr>
        <b/>
        <u/>
        <sz val="10"/>
        <rFont val="Arial"/>
        <family val="2"/>
      </rPr>
      <t/>
    </r>
  </si>
  <si>
    <r>
      <t>Vehicle No</t>
    </r>
    <r>
      <rPr>
        <sz val="10"/>
        <rFont val="Arial"/>
        <family val="2"/>
      </rPr>
      <t xml:space="preserve">:                                           </t>
    </r>
  </si>
  <si>
    <t>Anecito Mantilla</t>
  </si>
  <si>
    <t>Name:</t>
  </si>
  <si>
    <t>Vehicle Log Book</t>
  </si>
  <si>
    <t>Jessica School</t>
  </si>
  <si>
    <t>Tower Insurance</t>
  </si>
  <si>
    <t>1st Quarter</t>
  </si>
  <si>
    <t>2nd Quarter</t>
  </si>
  <si>
    <t>3rd Quarter</t>
  </si>
  <si>
    <t>4th Quarter</t>
  </si>
  <si>
    <t>week 1</t>
  </si>
  <si>
    <t>weeks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</si>
  <si>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</si>
  <si>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</si>
  <si>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</si>
  <si>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</si>
  <si>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</si>
  <si>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</si>
  <si>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</si>
  <si>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</si>
  <si>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</si>
  <si>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</si>
  <si>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</si>
  <si>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</si>
  <si>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FIRST QUARTER</t>
  </si>
  <si>
    <t>SECOND QUARTER</t>
  </si>
  <si>
    <t>THIRD QUARTER</t>
  </si>
  <si>
    <t>FOURTH QUARTER</t>
  </si>
  <si>
    <t xml:space="preserve">  --- GST paid to business</t>
  </si>
  <si>
    <t>Business income summary (Wollombi Medical Practice)</t>
  </si>
  <si>
    <t>2nd Quarter (Oct-Dec)</t>
  </si>
  <si>
    <t>1st Quarter (July-Sept)</t>
  </si>
  <si>
    <t>3rd Quarter (Jan-March)</t>
  </si>
  <si>
    <t>4th Quarter (Apr-June)</t>
  </si>
  <si>
    <t>Cessnock Hospital VMO</t>
  </si>
  <si>
    <t>Cessnock VMO Hospital Pay</t>
  </si>
  <si>
    <t>LOCUM PayG</t>
  </si>
  <si>
    <t>PAY received</t>
  </si>
  <si>
    <t>Business Expenses</t>
  </si>
  <si>
    <t xml:space="preserve">  -- private car used kilometers</t>
  </si>
  <si>
    <t>(kms)</t>
  </si>
  <si>
    <t xml:space="preserve">   --- Mileage (kms)</t>
  </si>
  <si>
    <t>Business Car (petrol-running)</t>
  </si>
  <si>
    <t>July</t>
  </si>
  <si>
    <t>August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</si>
  <si>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</si>
  <si>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</si>
  <si>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</si>
  <si>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</si>
  <si>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</si>
  <si>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</si>
  <si>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</si>
  <si>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</si>
  <si>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</si>
  <si>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</si>
  <si>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Location</t>
  </si>
  <si>
    <t>Wyong</t>
  </si>
  <si>
    <t>Pay</t>
  </si>
  <si>
    <t>Tax Witheld</t>
  </si>
  <si>
    <t>Month</t>
  </si>
  <si>
    <t>Paid</t>
  </si>
  <si>
    <t>PAYG</t>
  </si>
  <si>
    <t>Home-Surg-HOme</t>
  </si>
  <si>
    <t>Home-Surg-Hospital-Home</t>
  </si>
  <si>
    <t>Home-Belmont H-Surg-Home</t>
  </si>
  <si>
    <t>home-Hospital-Surg-Home</t>
  </si>
  <si>
    <t>home- Surgery-Hospital</t>
  </si>
  <si>
    <t>hospital-surgery-home</t>
  </si>
  <si>
    <t>home-Surg-home</t>
  </si>
  <si>
    <t>home-Wyong-home</t>
  </si>
  <si>
    <t>home-Surg-Hospital-home</t>
  </si>
  <si>
    <t>home-Surg-Hospital-Surg-home</t>
  </si>
  <si>
    <t>home-Surg-hospital-home</t>
  </si>
  <si>
    <t>True Tax estimate</t>
  </si>
  <si>
    <t xml:space="preserve">  --- Take Home Pay (70%)</t>
  </si>
  <si>
    <t>CommBank Account Service Fee</t>
  </si>
  <si>
    <t xml:space="preserve"> --- 30% to the surgery</t>
  </si>
  <si>
    <t>total</t>
  </si>
  <si>
    <t xml:space="preserve">  --- estimate tax 30% to keep</t>
  </si>
  <si>
    <t>TOTAL INCOME</t>
  </si>
  <si>
    <t>30% to Surgery</t>
  </si>
  <si>
    <t>Estimate Total Income</t>
  </si>
  <si>
    <t>Locum taxable income</t>
  </si>
  <si>
    <t>Locum tax witheld</t>
  </si>
  <si>
    <t>Estimate Usable Income</t>
  </si>
  <si>
    <t xml:space="preserve">total </t>
  </si>
  <si>
    <t>RURAL DOCTORS ASSOCI GUNDAGAI</t>
  </si>
  <si>
    <t>RACGP S8 book + shipping</t>
  </si>
  <si>
    <t>AVANT imdemnity</t>
  </si>
  <si>
    <t>Costco membership</t>
  </si>
  <si>
    <t>Travel to Costco</t>
  </si>
  <si>
    <t>24390 to 24720</t>
  </si>
  <si>
    <t>Costco Business cost</t>
  </si>
  <si>
    <t>Travel Pick-up hire car</t>
  </si>
  <si>
    <t>maxtor 1TB USB</t>
  </si>
  <si>
    <t>WD 1.5TB</t>
  </si>
  <si>
    <t xml:space="preserve"> RACGP Clinical Emergency Management workshop (intermediate)</t>
  </si>
  <si>
    <t xml:space="preserve"> RACGP Clinical Emergency Management workshop (advanced)</t>
  </si>
  <si>
    <t>AVANT medical insurance</t>
  </si>
  <si>
    <t>AHPRA registration</t>
  </si>
  <si>
    <t>College/Medical Membership</t>
  </si>
  <si>
    <t>Conference/workshop</t>
  </si>
  <si>
    <t>EXETEL phone/internet</t>
  </si>
  <si>
    <t>Virgin Mobile</t>
  </si>
  <si>
    <t>office/medical equipment</t>
  </si>
  <si>
    <t>Travel return-up hire car</t>
  </si>
  <si>
    <t>24720 to 24734</t>
  </si>
  <si>
    <t>24895 to 24907</t>
  </si>
  <si>
    <t>CAR HIRE EXPENSE</t>
  </si>
  <si>
    <t>home-Surg-home (accident)</t>
  </si>
  <si>
    <t>home-Surg-hosp-crowne-home</t>
  </si>
  <si>
    <t>home-hosp-Surg-home</t>
  </si>
  <si>
    <t>home-Surg-hosp-home</t>
  </si>
  <si>
    <t>(HERTZ)</t>
  </si>
  <si>
    <t>home-Surg-hosp</t>
  </si>
  <si>
    <t>hosp-Surg-home</t>
  </si>
  <si>
    <t>Bank fee (commbank+anz)</t>
  </si>
  <si>
    <t>gst 10% paid</t>
  </si>
  <si>
    <t>CRV - maintenance</t>
  </si>
  <si>
    <t>Captiva maintenance</t>
  </si>
  <si>
    <t>Travel Bag (for overnight bag)</t>
  </si>
  <si>
    <t>Sydney Car Park</t>
  </si>
  <si>
    <t>Travel to Sydney</t>
  </si>
  <si>
    <t>24960-25140-25319</t>
  </si>
  <si>
    <t>Going to work on Captiva</t>
  </si>
  <si>
    <t>25319-25370-25420</t>
  </si>
  <si>
    <t>25420 - 25435</t>
  </si>
  <si>
    <t xml:space="preserve">25435 - 25446 </t>
  </si>
  <si>
    <t>Buy Shoes Travel</t>
  </si>
  <si>
    <t>Work Shoes</t>
  </si>
  <si>
    <t>70% take home</t>
  </si>
  <si>
    <t>GST 10% paid to surgery</t>
  </si>
  <si>
    <t>10% GST charged</t>
  </si>
  <si>
    <t>Payment</t>
  </si>
  <si>
    <t>Hertz Car Hire</t>
  </si>
  <si>
    <t>Total Travel</t>
  </si>
  <si>
    <t xml:space="preserve"> (petrol not recoreded)</t>
  </si>
  <si>
    <t>captiva</t>
  </si>
  <si>
    <t>use captiva return car hire</t>
  </si>
  <si>
    <t>Petrol use for business</t>
  </si>
  <si>
    <t>car hire petrol</t>
  </si>
  <si>
    <t>1st quarter</t>
  </si>
  <si>
    <t>printer / camera and accessories for business use*</t>
  </si>
  <si>
    <t>office accessories - for card making*</t>
  </si>
  <si>
    <t>Black Vue camera*</t>
  </si>
  <si>
    <t>exetel*</t>
  </si>
  <si>
    <t>memory card (32gb)*</t>
  </si>
  <si>
    <t>MyCreditFile*</t>
  </si>
  <si>
    <t>Skin Cancer Workshop*</t>
  </si>
  <si>
    <t>Avant Medical imdemnity*</t>
  </si>
  <si>
    <t>Safe n Sound Storage* auto debit</t>
  </si>
  <si>
    <t>mantillamedical justhost.com*</t>
  </si>
  <si>
    <t>Exetel</t>
  </si>
  <si>
    <t>VIBE SYDNEY HOTEL*</t>
  </si>
  <si>
    <t>Virgin Mobile*</t>
  </si>
  <si>
    <t>Allianz work comp*</t>
  </si>
  <si>
    <t>medicare (no GST)</t>
  </si>
  <si>
    <t>Giordano*</t>
  </si>
  <si>
    <t>Exetel*</t>
  </si>
  <si>
    <t>business</t>
  </si>
  <si>
    <t>car used</t>
  </si>
  <si>
    <t>CRV</t>
  </si>
  <si>
    <t>13/8/2011-14/8/2011</t>
  </si>
  <si>
    <t>CDH</t>
  </si>
  <si>
    <t>cdh night shift</t>
  </si>
  <si>
    <t>crv</t>
  </si>
  <si>
    <t>home-cdh-surgery-home</t>
  </si>
  <si>
    <t>home-cdh-surg-cdh-home</t>
  </si>
  <si>
    <t>home-cdh-surg-educator-belmont-home</t>
  </si>
  <si>
    <t>storage trips</t>
  </si>
  <si>
    <t>27/10-30/10/2011</t>
  </si>
  <si>
    <t>home-surg-home</t>
  </si>
  <si>
    <t>Allianz Tyre Rim insurance*</t>
  </si>
  <si>
    <t>Alliancz Motor Insurance*</t>
  </si>
  <si>
    <t>from RACGP</t>
  </si>
  <si>
    <t>BMW Finance*</t>
  </si>
  <si>
    <t>Kloster BMW windscreen repair*</t>
  </si>
  <si>
    <t>Response Kit*</t>
  </si>
  <si>
    <t>PO Box - AusPost*</t>
  </si>
  <si>
    <t>RACGP-assessment*</t>
  </si>
  <si>
    <t>Account Fee*</t>
  </si>
  <si>
    <t>ABN</t>
  </si>
  <si>
    <t>EquipMed* dermatoscopes</t>
  </si>
  <si>
    <t>NOVOTEL Accomodation-dec* with meals</t>
  </si>
  <si>
    <t>BMW</t>
  </si>
  <si>
    <t>x3 2011</t>
  </si>
  <si>
    <t>Pick up from Dealer</t>
  </si>
  <si>
    <t>Home/Surgery/CDH/Surg/Home</t>
  </si>
  <si>
    <t>2-4/12/2011</t>
  </si>
  <si>
    <t>Home/Surg/Home</t>
  </si>
  <si>
    <t>Home/surg/CDH/Home</t>
  </si>
  <si>
    <t>Home/CDH/Home</t>
  </si>
  <si>
    <t>Home/CDH</t>
  </si>
  <si>
    <t>CDH/Surg/CDH/Home</t>
  </si>
  <si>
    <t>Home/Surg/CDH/Surg/Home</t>
  </si>
  <si>
    <t>Home/Surg/CDH/Surg/CDH/Surg /Home</t>
  </si>
  <si>
    <t>Home/Surg/CDH/Surg/CDH/Surg /CDH/Surg/CDH/Home</t>
  </si>
  <si>
    <t>Home/Cosco/Home</t>
  </si>
  <si>
    <t>Home/Surg/CDH/Home</t>
  </si>
  <si>
    <t>Home/BMW/Surg/CDH/Surg/Home</t>
  </si>
  <si>
    <t>Home/Surg/CDH/Surg/CDH/Surg/Home</t>
  </si>
  <si>
    <t>Home/CDH/Surg/CDH</t>
  </si>
  <si>
    <t>CDH/Surg/home visit/CDH/Surg/Home</t>
  </si>
  <si>
    <t>Home/CDH/Surg/CDH/Home</t>
  </si>
  <si>
    <t>Home/CDH/Surg/home visit/Home</t>
  </si>
  <si>
    <t>Home/CDH/Surg/CDH/Surg/CDH/Home</t>
  </si>
  <si>
    <t>Home/BMW/Surg/Surg/HomeVisit/Surg /Home</t>
  </si>
  <si>
    <t>Home/Novotel Manly/Home</t>
  </si>
  <si>
    <t>Sydney Airport Parking</t>
  </si>
  <si>
    <t>30-31 /12/2012</t>
  </si>
  <si>
    <t>Coles - Battery for work</t>
  </si>
  <si>
    <t>QVB Car Park</t>
  </si>
  <si>
    <t>Costco - Batteries and Cooler bag for work</t>
  </si>
  <si>
    <t>Louis Vuitton Bag - for business</t>
  </si>
  <si>
    <t>Bank Fee and Charges</t>
  </si>
  <si>
    <t>Insurance</t>
  </si>
  <si>
    <t>Materials and Supplies</t>
  </si>
  <si>
    <t>Printing and Stationary</t>
  </si>
  <si>
    <t>Rent</t>
  </si>
  <si>
    <t>Registration</t>
  </si>
  <si>
    <t>Salaries</t>
  </si>
  <si>
    <t>Staff Training</t>
  </si>
  <si>
    <t>Subscription</t>
  </si>
  <si>
    <t>Telephones</t>
  </si>
  <si>
    <t>Car related Expenses+petrol</t>
  </si>
  <si>
    <t>Total Petrol Use</t>
  </si>
  <si>
    <t>Total expenses</t>
  </si>
  <si>
    <t>Income (Hospital - with GST)</t>
  </si>
  <si>
    <t>Income (Hospital - no GST)</t>
  </si>
  <si>
    <t>Total Surgery Rental (paid GST)</t>
  </si>
  <si>
    <t>Income (surgery - no GST)</t>
  </si>
  <si>
    <t>Total Payment</t>
  </si>
  <si>
    <t>PAY</t>
  </si>
  <si>
    <t>plus 10% GST (if applicable)</t>
  </si>
  <si>
    <t>NOVOTEL sydney</t>
  </si>
  <si>
    <t>Mercure Hotel - Parammata</t>
  </si>
  <si>
    <t>Medical loupes</t>
  </si>
  <si>
    <t>home BMW home</t>
  </si>
  <si>
    <t>Home-surgery-home</t>
  </si>
  <si>
    <t>Home-Surg-hospital-Surg-Home</t>
  </si>
  <si>
    <t>Home-hospital-home-hospital</t>
  </si>
  <si>
    <t>hospital-home-hospital-home</t>
  </si>
  <si>
    <t>1-3/1/2012</t>
  </si>
  <si>
    <t>Sydney</t>
  </si>
  <si>
    <t>14-15/2/12</t>
  </si>
  <si>
    <t>24-26/2/12</t>
  </si>
  <si>
    <t>10-11/3/12</t>
  </si>
  <si>
    <t>13-14/3/12</t>
  </si>
  <si>
    <t>Coffs harbour conference</t>
  </si>
  <si>
    <t>supplies</t>
  </si>
  <si>
    <t>Sydney and HPMI conference</t>
  </si>
  <si>
    <t>18-19/3/2012</t>
  </si>
  <si>
    <t>Home-hospital weekend on call</t>
  </si>
  <si>
    <t>Sydney - accountant</t>
  </si>
  <si>
    <t>Home-NH-hospital-Surg-Home</t>
  </si>
  <si>
    <t>BZY90B</t>
  </si>
  <si>
    <t>X3</t>
  </si>
  <si>
    <t>CBA Account Keeping Fee</t>
  </si>
  <si>
    <t>Exetel phone and internet</t>
  </si>
  <si>
    <t>funds transfer</t>
  </si>
  <si>
    <t>BMW Finance</t>
  </si>
  <si>
    <t>RTA Etoll</t>
  </si>
  <si>
    <t>NSW RDA</t>
  </si>
  <si>
    <t>LVMH - TAG watch for work</t>
  </si>
  <si>
    <t>Safe n Sound Self Storage</t>
  </si>
  <si>
    <t>Syd Airport Parking</t>
  </si>
  <si>
    <t>University of Newcastle - HPMI</t>
  </si>
  <si>
    <t>AusPOST - PO BOX - business</t>
  </si>
  <si>
    <t>Novotel Coffs Harbour</t>
  </si>
  <si>
    <t>Meal at Coffs Harbour</t>
  </si>
  <si>
    <t>Officeworks - supplies</t>
  </si>
  <si>
    <t>Officeworks - Network Hardisk&amp;Uninterupted power supply</t>
  </si>
  <si>
    <t>ABHUB- Accountant</t>
  </si>
  <si>
    <t>JB-HIFI - MotorolaXOOM - for business use</t>
  </si>
  <si>
    <t>week 14</t>
  </si>
  <si>
    <t>SIP payment</t>
  </si>
  <si>
    <t>Dr Maria</t>
  </si>
  <si>
    <t>Subscription/tax agent</t>
  </si>
  <si>
    <t>.</t>
  </si>
  <si>
    <t>SIP</t>
  </si>
  <si>
    <t>payment</t>
  </si>
  <si>
    <t>CBA account keeping fee</t>
  </si>
  <si>
    <t>Avant Insurance Sydney</t>
  </si>
  <si>
    <t xml:space="preserve">Exetel </t>
  </si>
  <si>
    <t>Audi Parramatta deposit</t>
  </si>
  <si>
    <t>AMA membership</t>
  </si>
  <si>
    <t>Harvey Norman - Coffee Machine</t>
  </si>
  <si>
    <t>Hotel Ibis</t>
  </si>
  <si>
    <t>BMW-Kloster, maintenance</t>
  </si>
  <si>
    <t>Mathers - shoes</t>
  </si>
  <si>
    <t>Officeworks - supplies/network</t>
  </si>
  <si>
    <t>Royal Australian (RACGP) - membership</t>
  </si>
  <si>
    <t>RTA etoll</t>
  </si>
  <si>
    <t>Safe n Sound storage</t>
  </si>
  <si>
    <t>Tax Office Payments</t>
  </si>
  <si>
    <t xml:space="preserve">NZ Conference </t>
  </si>
  <si>
    <t>Book Fracture Management</t>
  </si>
  <si>
    <t>Business Networking - routers</t>
  </si>
  <si>
    <t>Novotel Accomodation</t>
  </si>
  <si>
    <t>Fees to Previous Accountant</t>
  </si>
  <si>
    <t>Trust Fund expenses</t>
  </si>
  <si>
    <t>COLES CESSNOCK NS AUS Card xx2508 Value Date: 28/05/2012</t>
  </si>
  <si>
    <t>COLES EXPR  BROADMEADOW  NSW          AU</t>
  </si>
  <si>
    <t>COLES EXPRESS 1517 GLENDALE NS AUS Card xx2508 Value Date: 02/05/2012</t>
  </si>
  <si>
    <t>COLES EXPRESS 1517 GLENDALE NS AUS Card xx2508 Value Date: 06/06/2012</t>
  </si>
  <si>
    <t>COLES EXPRESS 1517 GLENDALE NS AUS Card xx2508 Value Date: 09/06/2012</t>
  </si>
  <si>
    <t>COLES EXPRESS 1517 GLENDALE NS AUS Card xx2508 Value Date: 11/05/2012</t>
  </si>
  <si>
    <t>COLES EXPRESS 1517 GLENDALE NS AUS Card xx2508 Value Date: 13/04/2012</t>
  </si>
  <si>
    <t>COLES EXPRESS 1517 GLENDALE NS AUS Card xx2508 Value Date: 19/04/2012</t>
  </si>
  <si>
    <t>COLES EXPRESS 1517 GLENDALE NS AUS Card xx2508 Value Date: 21/05/2012</t>
  </si>
  <si>
    <t>COLES EXPRESS 1517 GLENDALE NS AUS Card xx2508 Value Date: 22/06/2012</t>
  </si>
  <si>
    <t>COLES EXPRESS 1517 GLENDALE NS AUS Card xx2508 Value Date: 27/04/2012</t>
  </si>
  <si>
    <t>COLES EXPRESS 1517 GLENDALE NS AUS Card xx2508 Value Date: 30/05/2012</t>
  </si>
  <si>
    <t>COLES EXPRESS 1747 KOTARA NS AUS Card xx2508 Value Date: 17/06/2012</t>
  </si>
  <si>
    <t>Voip Telephone from mynetfone</t>
  </si>
  <si>
    <t>Laptop from JB HIFI Kotara</t>
  </si>
  <si>
    <t>Purpose</t>
  </si>
  <si>
    <t>travel from (km)</t>
  </si>
  <si>
    <t>Travel To (km)</t>
  </si>
  <si>
    <t>Charina (business Travels)</t>
  </si>
  <si>
    <t>travel to beresfield (return)</t>
  </si>
  <si>
    <t>MBF / BUPA</t>
  </si>
  <si>
    <t>Total cost</t>
  </si>
  <si>
    <t>total premiums received by the health fund from me</t>
  </si>
  <si>
    <t>Premium reduction from the government</t>
  </si>
  <si>
    <t>Maximum rebate</t>
  </si>
  <si>
    <t>Car Maintenance</t>
  </si>
  <si>
    <t>captiva registration</t>
  </si>
  <si>
    <t>Debtor - resource fee</t>
  </si>
  <si>
    <t>Sundry-Athletics carnival</t>
  </si>
  <si>
    <t>Sundry-World of Maths</t>
  </si>
  <si>
    <t>Debtor-tuition fee / technology fee / building fee</t>
  </si>
  <si>
    <t>Sundry-Gymnastics</t>
  </si>
  <si>
    <t>Debtor-tuition fee / technology fee / building fee / Resource fee</t>
  </si>
  <si>
    <t>Jessica Uniforms</t>
  </si>
  <si>
    <t>uniform</t>
  </si>
  <si>
    <t>shoes</t>
  </si>
  <si>
    <t>trackpants</t>
  </si>
  <si>
    <t>jackets x2</t>
  </si>
  <si>
    <t>mathers</t>
  </si>
  <si>
    <t>Business equipment/car hire/petrol</t>
  </si>
  <si>
    <t>kilometers use re:business to other car (CRV prior to BMW)</t>
  </si>
  <si>
    <t>captiva Travels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</si>
</sst>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[$$-C09]* #,##0.00_-;\-[$$-C09]* #,##0.00_-;_-[$$-C09]* &quot;-&quot;??_-;_-@_-"/>
  </numFmts>
  <fonts count="5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u val="singleAccounting"/>
      <sz val="9"/>
      <color rgb="FFFF0000"/>
      <name val="Calibri"/>
      <family val="2"/>
      <scheme val="minor"/>
    </font>
    <font>
      <sz val="8"/>
      <color theme="1"/>
      <name val="Verdana"/>
      <family val="2"/>
    </font>
    <font>
      <sz val="8"/>
      <color rgb="FF000000"/>
      <name val="Verdana"/>
      <family val="2"/>
    </font>
    <font>
      <sz val="10"/>
      <color rgb="FFFF000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00FF"/>
      <name val="Calibri"/>
      <family val="2"/>
      <scheme val="minor"/>
    </font>
    <font>
      <sz val="10"/>
      <color rgb="FFFF00FF"/>
      <name val="Calibri"/>
      <family val="2"/>
      <scheme val="minor"/>
    </font>
    <font>
      <sz val="11"/>
      <color rgb="FF00FF00"/>
      <name val="Calibri"/>
      <family val="2"/>
      <scheme val="minor"/>
    </font>
    <font>
      <sz val="10"/>
      <color rgb="FF00FF00"/>
      <name val="Calibri"/>
      <family val="2"/>
      <scheme val="minor"/>
    </font>
    <font>
      <sz val="11"/>
      <color rgb="FFCC3300"/>
      <name val="Calibri"/>
      <family val="2"/>
      <scheme val="minor"/>
    </font>
    <font>
      <sz val="10"/>
      <color rgb="FFCC3300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0"/>
      <color theme="8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sz val="10"/>
      <color rgb="FFFFC000"/>
      <name val="Calibri"/>
      <family val="2"/>
      <scheme val="minor"/>
    </font>
    <font>
      <sz val="10"/>
      <color rgb="FFFF0000"/>
      <name val="Arial"/>
      <family val="2"/>
    </font>
    <font>
      <sz val="10"/>
      <color theme="9" tint="-0.499984740745262"/>
      <name val="Arial"/>
      <family val="2"/>
    </font>
    <font>
      <sz val="10"/>
      <color theme="8" tint="-0.249977111117893"/>
      <name val="Arial"/>
      <family val="2"/>
    </font>
    <font>
      <sz val="8"/>
      <color theme="8" tint="-0.249977111117893"/>
      <name val="Verdana"/>
      <family val="2"/>
    </font>
    <font>
      <sz val="10"/>
      <color rgb="FFC00000"/>
      <name val="Arial"/>
      <family val="2"/>
    </font>
    <font>
      <sz val="10"/>
      <color rgb="FF002060"/>
      <name val="Arial"/>
      <family val="2"/>
    </font>
    <font>
      <sz val="10"/>
      <color rgb="FF7030A0"/>
      <name val="Arial"/>
      <family val="2"/>
    </font>
    <font>
      <sz val="10"/>
      <color rgb="FF0070C0"/>
      <name val="Arial"/>
      <family val="2"/>
    </font>
    <font>
      <b/>
      <sz val="11"/>
      <name val="Arial"/>
      <family val="2"/>
    </font>
    <font>
      <i/>
      <sz val="10"/>
      <color rgb="FF7030A0"/>
      <name val="Arial"/>
      <family val="2"/>
    </font>
    <font>
      <i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13" borderId="0" applyNumberFormat="0" applyBorder="0" applyAlignment="0" applyProtection="0"/>
    <xf numFmtId="0" fontId="3" fillId="0" borderId="0"/>
  </cellStyleXfs>
  <cellXfs count="331">
    <xf numFmtId="0" fontId="0" fillId="0" borderId="0" xfId="0"/>
    <xf numFmtId="0" fontId="3" fillId="0" borderId="0" xfId="3"/>
    <xf numFmtId="0" fontId="4" fillId="0" borderId="0" xfId="3" applyFont="1"/>
    <xf numFmtId="0" fontId="5" fillId="0" borderId="0" xfId="3" applyFont="1" applyAlignment="1">
      <alignment wrapText="1"/>
    </xf>
    <xf numFmtId="164" fontId="5" fillId="0" borderId="0" xfId="3" applyNumberFormat="1" applyFont="1" applyAlignment="1">
      <alignment wrapText="1"/>
    </xf>
    <xf numFmtId="14" fontId="5" fillId="0" borderId="0" xfId="3" applyNumberFormat="1" applyFont="1" applyAlignment="1">
      <alignment horizontal="right" wrapText="1"/>
    </xf>
    <xf numFmtId="164" fontId="3" fillId="0" borderId="0" xfId="3" applyNumberFormat="1" applyAlignment="1">
      <alignment wrapText="1"/>
    </xf>
    <xf numFmtId="0" fontId="5" fillId="4" borderId="0" xfId="3" applyFont="1" applyFill="1" applyAlignment="1">
      <alignment wrapText="1"/>
    </xf>
    <xf numFmtId="14" fontId="5" fillId="4" borderId="0" xfId="3" applyNumberFormat="1" applyFont="1" applyFill="1" applyAlignment="1">
      <alignment horizontal="right" wrapText="1"/>
    </xf>
    <xf numFmtId="164" fontId="1" fillId="2" borderId="0" xfId="1" applyNumberFormat="1" applyAlignment="1">
      <alignment wrapText="1"/>
    </xf>
    <xf numFmtId="0" fontId="1" fillId="2" borderId="0" xfId="1" applyAlignment="1">
      <alignment horizontal="right" wrapText="1"/>
    </xf>
    <xf numFmtId="0" fontId="6" fillId="0" borderId="0" xfId="3" applyFont="1" applyAlignment="1">
      <alignment wrapText="1"/>
    </xf>
    <xf numFmtId="164" fontId="5" fillId="0" borderId="0" xfId="3" applyNumberFormat="1" applyFont="1" applyAlignment="1">
      <alignment horizontal="right" wrapText="1"/>
    </xf>
    <xf numFmtId="164" fontId="5" fillId="4" borderId="0" xfId="3" applyNumberFormat="1" applyFont="1" applyFill="1" applyAlignment="1">
      <alignment horizontal="right" wrapText="1"/>
    </xf>
    <xf numFmtId="14" fontId="3" fillId="0" borderId="0" xfId="3" applyNumberFormat="1" applyAlignment="1">
      <alignment wrapText="1"/>
    </xf>
    <xf numFmtId="0" fontId="3" fillId="5" borderId="5" xfId="3" applyFill="1" applyBorder="1" applyAlignment="1">
      <alignment wrapText="1"/>
    </xf>
    <xf numFmtId="9" fontId="0" fillId="5" borderId="6" xfId="4" applyNumberFormat="1" applyFont="1" applyFill="1" applyBorder="1" applyAlignment="1">
      <alignment wrapText="1"/>
    </xf>
    <xf numFmtId="165" fontId="3" fillId="5" borderId="10" xfId="3" applyNumberFormat="1" applyFill="1" applyBorder="1" applyAlignment="1">
      <alignment wrapText="1"/>
    </xf>
    <xf numFmtId="0" fontId="3" fillId="5" borderId="11" xfId="3" applyFill="1" applyBorder="1" applyAlignment="1">
      <alignment wrapText="1"/>
    </xf>
    <xf numFmtId="2" fontId="3" fillId="5" borderId="10" xfId="3" applyNumberFormat="1" applyFill="1" applyBorder="1" applyAlignment="1">
      <alignment wrapText="1"/>
    </xf>
    <xf numFmtId="0" fontId="7" fillId="5" borderId="10" xfId="3" applyFont="1" applyFill="1" applyBorder="1" applyAlignment="1">
      <alignment wrapText="1"/>
    </xf>
    <xf numFmtId="165" fontId="0" fillId="5" borderId="6" xfId="5" applyNumberFormat="1" applyFont="1" applyFill="1" applyBorder="1" applyAlignment="1">
      <alignment wrapText="1"/>
    </xf>
    <xf numFmtId="165" fontId="3" fillId="5" borderId="12" xfId="3" applyNumberFormat="1" applyFill="1" applyBorder="1" applyAlignment="1">
      <alignment wrapText="1"/>
    </xf>
    <xf numFmtId="165" fontId="0" fillId="6" borderId="12" xfId="5" applyNumberFormat="1" applyFont="1" applyFill="1" applyBorder="1" applyAlignment="1">
      <alignment wrapText="1"/>
    </xf>
    <xf numFmtId="3" fontId="0" fillId="5" borderId="6" xfId="5" applyNumberFormat="1" applyFont="1" applyFill="1" applyBorder="1" applyAlignment="1">
      <alignment wrapText="1"/>
    </xf>
    <xf numFmtId="14" fontId="3" fillId="6" borderId="12" xfId="3" applyNumberFormat="1" applyFill="1" applyBorder="1" applyAlignment="1">
      <alignment wrapText="1"/>
    </xf>
    <xf numFmtId="165" fontId="3" fillId="5" borderId="6" xfId="3" applyNumberFormat="1" applyFill="1" applyBorder="1" applyAlignment="1">
      <alignment wrapText="1"/>
    </xf>
    <xf numFmtId="165" fontId="0" fillId="6" borderId="6" xfId="5" applyNumberFormat="1" applyFont="1" applyFill="1" applyBorder="1" applyAlignment="1">
      <alignment wrapText="1"/>
    </xf>
    <xf numFmtId="14" fontId="3" fillId="6" borderId="6" xfId="3" applyNumberFormat="1" applyFill="1" applyBorder="1" applyAlignment="1">
      <alignment wrapText="1"/>
    </xf>
    <xf numFmtId="0" fontId="4" fillId="0" borderId="0" xfId="3" quotePrefix="1" applyFont="1" applyAlignment="1">
      <alignment wrapText="1"/>
    </xf>
    <xf numFmtId="3" fontId="0" fillId="6" borderId="6" xfId="5" applyNumberFormat="1" applyFont="1" applyFill="1" applyBorder="1" applyAlignment="1">
      <alignment wrapText="1"/>
    </xf>
    <xf numFmtId="14" fontId="8" fillId="6" borderId="6" xfId="3" applyNumberFormat="1" applyFont="1" applyFill="1" applyBorder="1" applyAlignment="1">
      <alignment wrapText="1"/>
    </xf>
    <xf numFmtId="14" fontId="7" fillId="7" borderId="13" xfId="3" applyNumberFormat="1" applyFont="1" applyFill="1" applyBorder="1" applyAlignment="1">
      <alignment wrapText="1"/>
    </xf>
    <xf numFmtId="0" fontId="7" fillId="0" borderId="0" xfId="3" applyFont="1" applyAlignment="1">
      <alignment wrapText="1"/>
    </xf>
    <xf numFmtId="14" fontId="9" fillId="0" borderId="0" xfId="3" applyNumberFormat="1" applyFont="1" applyAlignment="1">
      <alignment wrapText="1"/>
    </xf>
    <xf numFmtId="164" fontId="4" fillId="0" borderId="0" xfId="3" applyNumberFormat="1" applyFont="1" applyAlignment="1">
      <alignment wrapText="1"/>
    </xf>
    <xf numFmtId="0" fontId="9" fillId="6" borderId="19" xfId="3" applyFont="1" applyFill="1" applyBorder="1" applyAlignment="1">
      <alignment wrapText="1"/>
    </xf>
    <xf numFmtId="0" fontId="7" fillId="6" borderId="19" xfId="3" applyFont="1" applyFill="1" applyBorder="1" applyAlignment="1">
      <alignment wrapText="1"/>
    </xf>
    <xf numFmtId="0" fontId="3" fillId="6" borderId="19" xfId="3" applyFill="1" applyBorder="1" applyAlignment="1">
      <alignment wrapText="1"/>
    </xf>
    <xf numFmtId="0" fontId="4" fillId="0" borderId="0" xfId="3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7" fillId="10" borderId="13" xfId="3" applyNumberFormat="1" applyFont="1" applyFill="1" applyBorder="1" applyAlignment="1">
      <alignment wrapText="1"/>
    </xf>
    <xf numFmtId="0" fontId="3" fillId="10" borderId="0" xfId="3" applyFill="1" applyAlignment="1">
      <alignment wrapText="1"/>
    </xf>
    <xf numFmtId="164" fontId="3" fillId="10" borderId="0" xfId="3" applyNumberFormat="1" applyFill="1" applyAlignment="1">
      <alignment wrapText="1"/>
    </xf>
    <xf numFmtId="164" fontId="3" fillId="4" borderId="0" xfId="3" applyNumberFormat="1" applyFill="1" applyAlignment="1">
      <alignment wrapText="1"/>
    </xf>
    <xf numFmtId="0" fontId="3" fillId="0" borderId="0" xfId="3" applyAlignment="1">
      <alignment wrapText="1"/>
    </xf>
    <xf numFmtId="0" fontId="3" fillId="6" borderId="6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9" fillId="0" borderId="0" xfId="3" applyFont="1" applyAlignment="1">
      <alignment wrapText="1"/>
    </xf>
    <xf numFmtId="0" fontId="3" fillId="6" borderId="12" xfId="3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44" fontId="3" fillId="0" borderId="0" xfId="6" applyFont="1" applyAlignment="1">
      <alignment wrapText="1"/>
    </xf>
    <xf numFmtId="44" fontId="4" fillId="0" borderId="0" xfId="6" applyFont="1" applyAlignment="1">
      <alignment wrapText="1"/>
    </xf>
    <xf numFmtId="0" fontId="0" fillId="0" borderId="0" xfId="0" applyNumberFormat="1" applyAlignment="1">
      <alignment vertical="center" wrapText="1"/>
    </xf>
    <xf numFmtId="0" fontId="0" fillId="9" borderId="0" xfId="0" applyNumberFormat="1" applyFill="1" applyAlignment="1">
      <alignment vertical="center" wrapText="1"/>
    </xf>
    <xf numFmtId="0" fontId="15" fillId="0" borderId="0" xfId="0" applyNumberFormat="1" applyFont="1" applyAlignment="1">
      <alignment vertical="center" wrapText="1"/>
    </xf>
    <xf numFmtId="44" fontId="0" fillId="0" borderId="0" xfId="6" applyFont="1" applyAlignment="1">
      <alignment vertical="center" wrapText="1"/>
    </xf>
    <xf numFmtId="44" fontId="0" fillId="9" borderId="0" xfId="6" applyFont="1" applyFill="1" applyAlignment="1">
      <alignment vertical="center" wrapText="1"/>
    </xf>
    <xf numFmtId="44" fontId="15" fillId="0" borderId="0" xfId="6" applyFont="1" applyAlignment="1">
      <alignment vertical="center" wrapText="1"/>
    </xf>
    <xf numFmtId="0" fontId="16" fillId="0" borderId="0" xfId="0" applyNumberFormat="1" applyFont="1" applyAlignment="1">
      <alignment vertical="center" wrapText="1"/>
    </xf>
    <xf numFmtId="44" fontId="16" fillId="0" borderId="0" xfId="6" applyFont="1" applyAlignment="1">
      <alignment vertical="center" wrapText="1"/>
    </xf>
    <xf numFmtId="44" fontId="16" fillId="9" borderId="0" xfId="6" applyFont="1" applyFill="1" applyAlignment="1">
      <alignment vertical="center" wrapText="1"/>
    </xf>
    <xf numFmtId="44" fontId="17" fillId="0" borderId="0" xfId="6" applyFont="1" applyAlignment="1">
      <alignment vertical="center"/>
    </xf>
    <xf numFmtId="0" fontId="0" fillId="0" borderId="0" xfId="6" applyNumberFormat="1" applyFont="1" applyAlignment="1">
      <alignment vertical="center" wrapText="1"/>
    </xf>
    <xf numFmtId="0" fontId="15" fillId="0" borderId="0" xfId="6" applyNumberFormat="1" applyFont="1" applyAlignment="1">
      <alignment vertical="center" wrapText="1"/>
    </xf>
    <xf numFmtId="0" fontId="0" fillId="9" borderId="0" xfId="6" applyNumberFormat="1" applyFont="1" applyFill="1" applyAlignment="1">
      <alignment vertical="center" wrapText="1"/>
    </xf>
    <xf numFmtId="44" fontId="0" fillId="0" borderId="0" xfId="0" applyNumberFormat="1" applyAlignment="1">
      <alignment vertical="center" wrapText="1"/>
    </xf>
    <xf numFmtId="0" fontId="3" fillId="11" borderId="0" xfId="3" applyFill="1" applyAlignment="1">
      <alignment wrapText="1"/>
    </xf>
    <xf numFmtId="0" fontId="3" fillId="12" borderId="0" xfId="3" applyFill="1" applyAlignment="1">
      <alignment wrapText="1"/>
    </xf>
    <xf numFmtId="164" fontId="3" fillId="11" borderId="0" xfId="3" applyNumberFormat="1" applyFill="1" applyAlignment="1">
      <alignment wrapText="1"/>
    </xf>
    <xf numFmtId="44" fontId="3" fillId="11" borderId="0" xfId="6" applyFont="1" applyFill="1" applyAlignment="1">
      <alignment wrapText="1"/>
    </xf>
    <xf numFmtId="0" fontId="3" fillId="0" borderId="0" xfId="3" applyAlignment="1">
      <alignment wrapText="1"/>
    </xf>
    <xf numFmtId="0" fontId="18" fillId="0" borderId="0" xfId="0" applyNumberFormat="1" applyFont="1" applyAlignment="1">
      <alignment vertical="center" wrapText="1"/>
    </xf>
    <xf numFmtId="44" fontId="18" fillId="0" borderId="0" xfId="6" applyFont="1" applyAlignment="1">
      <alignment vertical="center" wrapText="1"/>
    </xf>
    <xf numFmtId="44" fontId="18" fillId="9" borderId="0" xfId="6" applyFont="1" applyFill="1" applyAlignment="1">
      <alignment vertical="center" wrapText="1"/>
    </xf>
    <xf numFmtId="44" fontId="19" fillId="0" borderId="0" xfId="6" applyFont="1" applyAlignment="1">
      <alignment vertical="center" wrapText="1"/>
    </xf>
    <xf numFmtId="0" fontId="18" fillId="0" borderId="0" xfId="6" applyNumberFormat="1" applyFont="1" applyAlignment="1">
      <alignment vertical="center" wrapText="1"/>
    </xf>
    <xf numFmtId="0" fontId="20" fillId="13" borderId="0" xfId="8" applyAlignment="1">
      <alignment horizontal="center"/>
    </xf>
    <xf numFmtId="9" fontId="20" fillId="13" borderId="0" xfId="7" applyFont="1" applyFill="1" applyAlignment="1">
      <alignment horizontal="center"/>
    </xf>
    <xf numFmtId="0" fontId="21" fillId="0" borderId="0" xfId="0" applyNumberFormat="1" applyFont="1" applyAlignment="1">
      <alignment vertical="center" wrapText="1"/>
    </xf>
    <xf numFmtId="44" fontId="21" fillId="0" borderId="0" xfId="6" applyFont="1" applyAlignment="1">
      <alignment vertical="center" wrapText="1"/>
    </xf>
    <xf numFmtId="44" fontId="21" fillId="9" borderId="0" xfId="6" applyFont="1" applyFill="1" applyAlignment="1">
      <alignment vertical="center" wrapText="1"/>
    </xf>
    <xf numFmtId="44" fontId="22" fillId="0" borderId="0" xfId="6" applyFont="1" applyAlignment="1">
      <alignment vertical="center"/>
    </xf>
    <xf numFmtId="0" fontId="3" fillId="8" borderId="0" xfId="3" applyFill="1" applyAlignment="1">
      <alignment wrapText="1"/>
    </xf>
    <xf numFmtId="14" fontId="5" fillId="0" borderId="0" xfId="3" applyNumberFormat="1" applyFont="1" applyAlignment="1">
      <alignment wrapText="1"/>
    </xf>
    <xf numFmtId="0" fontId="5" fillId="0" borderId="0" xfId="3" applyNumberFormat="1" applyFont="1" applyAlignment="1">
      <alignment horizontal="right" wrapText="1"/>
    </xf>
    <xf numFmtId="0" fontId="5" fillId="8" borderId="0" xfId="3" applyFont="1" applyFill="1" applyAlignment="1">
      <alignment wrapText="1"/>
    </xf>
    <xf numFmtId="9" fontId="5" fillId="0" borderId="0" xfId="7" applyFont="1" applyAlignment="1">
      <alignment wrapText="1"/>
    </xf>
    <xf numFmtId="0" fontId="5" fillId="12" borderId="0" xfId="3" applyFont="1" applyFill="1" applyAlignment="1">
      <alignment wrapText="1"/>
    </xf>
    <xf numFmtId="164" fontId="2" fillId="3" borderId="0" xfId="2" applyNumberFormat="1" applyAlignment="1">
      <alignment wrapText="1"/>
    </xf>
    <xf numFmtId="9" fontId="4" fillId="4" borderId="0" xfId="3" applyNumberFormat="1" applyFont="1" applyFill="1" applyAlignment="1">
      <alignment wrapText="1"/>
    </xf>
    <xf numFmtId="14" fontId="3" fillId="8" borderId="0" xfId="3" applyNumberFormat="1" applyFill="1" applyAlignment="1">
      <alignment wrapText="1"/>
    </xf>
    <xf numFmtId="164" fontId="3" fillId="8" borderId="0" xfId="3" applyNumberFormat="1" applyFill="1" applyAlignment="1">
      <alignment wrapText="1"/>
    </xf>
    <xf numFmtId="14" fontId="4" fillId="0" borderId="0" xfId="3" applyNumberFormat="1" applyFont="1" applyAlignment="1">
      <alignment wrapText="1"/>
    </xf>
    <xf numFmtId="14" fontId="3" fillId="0" borderId="0" xfId="3" applyNumberFormat="1"/>
    <xf numFmtId="44" fontId="3" fillId="0" borderId="0" xfId="6" applyFont="1"/>
    <xf numFmtId="44" fontId="3" fillId="0" borderId="0" xfId="3" applyNumberFormat="1"/>
    <xf numFmtId="44" fontId="1" fillId="2" borderId="0" xfId="6" applyFont="1" applyFill="1" applyAlignment="1">
      <alignment vertical="center" wrapText="1"/>
    </xf>
    <xf numFmtId="0" fontId="0" fillId="0" borderId="0" xfId="0" applyAlignment="1">
      <alignment vertical="top" wrapText="1"/>
    </xf>
    <xf numFmtId="14" fontId="5" fillId="0" borderId="0" xfId="3" applyNumberFormat="1" applyFont="1" applyAlignment="1">
      <alignment horizontal="right" vertical="top" wrapText="1"/>
    </xf>
    <xf numFmtId="0" fontId="5" fillId="0" borderId="0" xfId="3" applyFont="1" applyAlignment="1">
      <alignment vertical="top" wrapText="1"/>
    </xf>
    <xf numFmtId="44" fontId="5" fillId="0" borderId="0" xfId="6" applyFont="1" applyAlignment="1">
      <alignment vertical="top" wrapText="1"/>
    </xf>
    <xf numFmtId="14" fontId="5" fillId="4" borderId="0" xfId="3" applyNumberFormat="1" applyFont="1" applyFill="1" applyAlignment="1">
      <alignment horizontal="right" vertical="top" wrapText="1"/>
    </xf>
    <xf numFmtId="0" fontId="5" fillId="4" borderId="0" xfId="3" applyFont="1" applyFill="1" applyAlignment="1">
      <alignment vertical="top" wrapText="1"/>
    </xf>
    <xf numFmtId="44" fontId="5" fillId="4" borderId="0" xfId="6" applyFont="1" applyFill="1" applyAlignment="1">
      <alignment horizontal="right" vertical="top" wrapText="1"/>
    </xf>
    <xf numFmtId="44" fontId="5" fillId="0" borderId="0" xfId="6" applyFont="1" applyAlignment="1">
      <alignment horizontal="right" vertical="top" wrapText="1"/>
    </xf>
    <xf numFmtId="0" fontId="6" fillId="0" borderId="0" xfId="3" applyFont="1" applyAlignment="1">
      <alignment vertical="top" wrapText="1"/>
    </xf>
    <xf numFmtId="0" fontId="1" fillId="2" borderId="0" xfId="1" applyAlignment="1">
      <alignment horizontal="right" vertical="top" wrapText="1"/>
    </xf>
    <xf numFmtId="44" fontId="1" fillId="2" borderId="0" xfId="6" applyFont="1" applyFill="1" applyAlignment="1">
      <alignment vertical="top" wrapText="1"/>
    </xf>
    <xf numFmtId="164" fontId="5" fillId="0" borderId="0" xfId="3" applyNumberFormat="1" applyFont="1" applyAlignment="1">
      <alignment vertical="top" wrapText="1"/>
    </xf>
    <xf numFmtId="14" fontId="0" fillId="0" borderId="0" xfId="0" applyNumberFormat="1" applyAlignment="1">
      <alignment vertical="top" wrapText="1"/>
    </xf>
    <xf numFmtId="44" fontId="0" fillId="0" borderId="0" xfId="6" applyFont="1" applyAlignment="1">
      <alignment vertical="top" wrapText="1"/>
    </xf>
    <xf numFmtId="0" fontId="23" fillId="0" borderId="0" xfId="0" applyFont="1" applyAlignment="1">
      <alignment vertical="top"/>
    </xf>
    <xf numFmtId="0" fontId="0" fillId="0" borderId="0" xfId="0" applyFill="1" applyAlignment="1">
      <alignment wrapText="1"/>
    </xf>
    <xf numFmtId="0" fontId="0" fillId="0" borderId="0" xfId="0" applyFill="1"/>
    <xf numFmtId="0" fontId="5" fillId="0" borderId="0" xfId="3" applyFont="1" applyFill="1" applyAlignment="1">
      <alignment wrapText="1"/>
    </xf>
    <xf numFmtId="0" fontId="3" fillId="0" borderId="0" xfId="3" applyFill="1" applyAlignment="1">
      <alignment wrapText="1"/>
    </xf>
    <xf numFmtId="44" fontId="5" fillId="0" borderId="0" xfId="3" applyNumberFormat="1" applyFont="1" applyAlignment="1">
      <alignment vertical="top" wrapText="1"/>
    </xf>
    <xf numFmtId="44" fontId="0" fillId="0" borderId="0" xfId="0" applyNumberFormat="1" applyAlignment="1">
      <alignment vertical="top" wrapText="1"/>
    </xf>
    <xf numFmtId="0" fontId="0" fillId="0" borderId="0" xfId="0" quotePrefix="1" applyAlignment="1">
      <alignment vertical="top" wrapText="1"/>
    </xf>
    <xf numFmtId="44" fontId="24" fillId="0" borderId="0" xfId="6" applyFont="1"/>
    <xf numFmtId="164" fontId="3" fillId="0" borderId="0" xfId="3" applyNumberFormat="1" applyFont="1" applyAlignment="1">
      <alignment wrapText="1"/>
    </xf>
    <xf numFmtId="14" fontId="25" fillId="0" borderId="0" xfId="9" applyNumberFormat="1" applyFont="1" applyAlignment="1">
      <alignment horizontal="right" vertical="top" wrapText="1"/>
    </xf>
    <xf numFmtId="0" fontId="3" fillId="0" borderId="0" xfId="3" applyAlignment="1"/>
    <xf numFmtId="14" fontId="25" fillId="0" borderId="0" xfId="0" applyNumberFormat="1" applyFont="1" applyAlignment="1">
      <alignment horizontal="right" vertical="top" wrapText="1"/>
    </xf>
    <xf numFmtId="0" fontId="25" fillId="0" borderId="0" xfId="0" applyFont="1" applyAlignment="1">
      <alignment horizontal="right" vertical="top" wrapText="1"/>
    </xf>
    <xf numFmtId="0" fontId="25" fillId="0" borderId="0" xfId="9" applyFont="1" applyAlignment="1">
      <alignment horizontal="right" vertical="top" wrapText="1"/>
    </xf>
    <xf numFmtId="14" fontId="25" fillId="0" borderId="0" xfId="3" applyNumberFormat="1" applyFont="1" applyAlignment="1">
      <alignment horizontal="right" vertical="top" wrapText="1"/>
    </xf>
    <xf numFmtId="0" fontId="25" fillId="0" borderId="0" xfId="3" applyFont="1" applyAlignment="1">
      <alignment horizontal="right" vertical="top" wrapText="1"/>
    </xf>
    <xf numFmtId="164" fontId="3" fillId="0" borderId="0" xfId="3" applyNumberFormat="1" applyAlignment="1"/>
    <xf numFmtId="0" fontId="3" fillId="0" borderId="0" xfId="3" applyAlignment="1">
      <alignment wrapText="1"/>
    </xf>
    <xf numFmtId="0" fontId="9" fillId="0" borderId="0" xfId="3" applyFont="1" applyAlignment="1">
      <alignment wrapText="1"/>
    </xf>
    <xf numFmtId="0" fontId="3" fillId="6" borderId="6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7" fillId="7" borderId="13" xfId="3" applyFont="1" applyFill="1" applyBorder="1" applyAlignment="1">
      <alignment wrapText="1"/>
    </xf>
    <xf numFmtId="0" fontId="3" fillId="6" borderId="20" xfId="3" applyFill="1" applyBorder="1" applyAlignment="1">
      <alignment horizontal="left" wrapText="1"/>
    </xf>
    <xf numFmtId="0" fontId="3" fillId="6" borderId="7" xfId="3" applyFill="1" applyBorder="1" applyAlignment="1">
      <alignment horizontal="left" wrapText="1"/>
    </xf>
    <xf numFmtId="14" fontId="3" fillId="6" borderId="0" xfId="3" applyNumberFormat="1" applyFill="1" applyBorder="1" applyAlignment="1">
      <alignment wrapText="1"/>
    </xf>
    <xf numFmtId="0" fontId="3" fillId="6" borderId="0" xfId="3" applyFill="1" applyBorder="1" applyAlignment="1">
      <alignment wrapText="1"/>
    </xf>
    <xf numFmtId="0" fontId="3" fillId="6" borderId="0" xfId="3" applyFill="1" applyBorder="1" applyAlignment="1">
      <alignment horizontal="left" wrapText="1"/>
    </xf>
    <xf numFmtId="3" fontId="0" fillId="5" borderId="21" xfId="5" applyNumberFormat="1" applyFont="1" applyFill="1" applyBorder="1" applyAlignment="1">
      <alignment wrapText="1"/>
    </xf>
    <xf numFmtId="165" fontId="0" fillId="6" borderId="0" xfId="5" applyNumberFormat="1" applyFont="1" applyFill="1" applyBorder="1" applyAlignment="1">
      <alignment wrapText="1"/>
    </xf>
    <xf numFmtId="165" fontId="3" fillId="5" borderId="0" xfId="3" applyNumberFormat="1" applyFill="1" applyBorder="1" applyAlignment="1">
      <alignment wrapText="1"/>
    </xf>
    <xf numFmtId="44" fontId="4" fillId="0" borderId="0" xfId="6" applyFont="1"/>
    <xf numFmtId="0" fontId="3" fillId="6" borderId="6" xfId="3" applyFill="1" applyBorder="1" applyAlignment="1">
      <alignment wrapText="1"/>
    </xf>
    <xf numFmtId="0" fontId="3" fillId="0" borderId="0" xfId="3" applyAlignment="1">
      <alignment wrapText="1"/>
    </xf>
    <xf numFmtId="0" fontId="3" fillId="5" borderId="6" xfId="3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0" fontId="9" fillId="0" borderId="0" xfId="3" applyFont="1" applyAlignment="1">
      <alignment wrapText="1"/>
    </xf>
    <xf numFmtId="0" fontId="25" fillId="0" borderId="0" xfId="3" applyFont="1" applyAlignment="1">
      <alignment wrapText="1"/>
    </xf>
    <xf numFmtId="0" fontId="26" fillId="0" borderId="0" xfId="3" applyFont="1" applyAlignment="1">
      <alignment wrapText="1"/>
    </xf>
    <xf numFmtId="14" fontId="25" fillId="0" borderId="0" xfId="3" applyNumberFormat="1" applyFont="1" applyAlignment="1">
      <alignment horizontal="right" wrapText="1"/>
    </xf>
    <xf numFmtId="164" fontId="25" fillId="0" borderId="0" xfId="3" applyNumberFormat="1" applyFont="1" applyAlignment="1">
      <alignment wrapText="1"/>
    </xf>
    <xf numFmtId="0" fontId="27" fillId="0" borderId="0" xfId="3" applyFont="1" applyAlignment="1">
      <alignment wrapText="1"/>
    </xf>
    <xf numFmtId="14" fontId="27" fillId="0" borderId="0" xfId="3" applyNumberFormat="1" applyFont="1" applyAlignment="1">
      <alignment horizontal="right" wrapText="1"/>
    </xf>
    <xf numFmtId="164" fontId="27" fillId="0" borderId="0" xfId="3" applyNumberFormat="1" applyFont="1" applyAlignment="1">
      <alignment wrapText="1"/>
    </xf>
    <xf numFmtId="0" fontId="28" fillId="0" borderId="0" xfId="3" applyFont="1" applyAlignment="1">
      <alignment vertical="top" wrapText="1"/>
    </xf>
    <xf numFmtId="14" fontId="28" fillId="0" borderId="0" xfId="3" applyNumberFormat="1" applyFont="1" applyAlignment="1">
      <alignment horizontal="right" wrapText="1"/>
    </xf>
    <xf numFmtId="0" fontId="28" fillId="0" borderId="0" xfId="3" applyFont="1" applyAlignment="1">
      <alignment wrapText="1"/>
    </xf>
    <xf numFmtId="164" fontId="28" fillId="0" borderId="0" xfId="3" applyNumberFormat="1" applyFont="1" applyAlignment="1">
      <alignment wrapText="1"/>
    </xf>
    <xf numFmtId="0" fontId="29" fillId="0" borderId="0" xfId="0" applyFont="1" applyAlignment="1">
      <alignment vertical="top" wrapText="1"/>
    </xf>
    <xf numFmtId="14" fontId="26" fillId="0" borderId="0" xfId="3" applyNumberFormat="1" applyFont="1" applyAlignment="1">
      <alignment horizontal="right" wrapText="1"/>
    </xf>
    <xf numFmtId="164" fontId="26" fillId="0" borderId="0" xfId="3" applyNumberFormat="1" applyFont="1" applyAlignment="1">
      <alignment wrapText="1"/>
    </xf>
    <xf numFmtId="14" fontId="30" fillId="0" borderId="0" xfId="3" applyNumberFormat="1" applyFont="1" applyAlignment="1">
      <alignment horizontal="right" wrapText="1"/>
    </xf>
    <xf numFmtId="0" fontId="30" fillId="0" borderId="0" xfId="3" applyFont="1" applyAlignment="1">
      <alignment wrapText="1"/>
    </xf>
    <xf numFmtId="164" fontId="30" fillId="0" borderId="0" xfId="3" applyNumberFormat="1" applyFont="1" applyAlignment="1">
      <alignment wrapText="1"/>
    </xf>
    <xf numFmtId="14" fontId="31" fillId="0" borderId="0" xfId="3" applyNumberFormat="1" applyFont="1" applyAlignment="1">
      <alignment horizontal="right" wrapText="1"/>
    </xf>
    <xf numFmtId="0" fontId="31" fillId="0" borderId="0" xfId="3" applyFont="1" applyAlignment="1">
      <alignment wrapText="1"/>
    </xf>
    <xf numFmtId="164" fontId="31" fillId="0" borderId="0" xfId="3" applyNumberFormat="1" applyFont="1" applyAlignment="1">
      <alignment wrapText="1"/>
    </xf>
    <xf numFmtId="0" fontId="32" fillId="0" borderId="0" xfId="0" applyFont="1" applyAlignment="1">
      <alignment vertical="top" wrapText="1"/>
    </xf>
    <xf numFmtId="0" fontId="33" fillId="0" borderId="0" xfId="0" applyFont="1" applyAlignment="1">
      <alignment vertical="top" wrapText="1"/>
    </xf>
    <xf numFmtId="0" fontId="34" fillId="0" borderId="0" xfId="3" applyFont="1" applyAlignment="1">
      <alignment wrapText="1"/>
    </xf>
    <xf numFmtId="14" fontId="34" fillId="0" borderId="0" xfId="3" applyNumberFormat="1" applyFont="1" applyAlignment="1">
      <alignment horizontal="right" wrapText="1"/>
    </xf>
    <xf numFmtId="164" fontId="34" fillId="0" borderId="0" xfId="3" applyNumberFormat="1" applyFont="1" applyAlignment="1">
      <alignment wrapText="1"/>
    </xf>
    <xf numFmtId="0" fontId="35" fillId="0" borderId="0" xfId="0" applyFont="1" applyAlignment="1">
      <alignment vertical="top" wrapText="1"/>
    </xf>
    <xf numFmtId="0" fontId="36" fillId="0" borderId="0" xfId="3" applyFont="1" applyAlignment="1">
      <alignment wrapText="1"/>
    </xf>
    <xf numFmtId="0" fontId="37" fillId="0" borderId="0" xfId="0" applyFont="1" applyAlignment="1">
      <alignment vertical="top" wrapText="1"/>
    </xf>
    <xf numFmtId="0" fontId="38" fillId="0" borderId="0" xfId="3" applyFont="1" applyAlignment="1">
      <alignment wrapText="1"/>
    </xf>
    <xf numFmtId="14" fontId="38" fillId="0" borderId="0" xfId="3" applyNumberFormat="1" applyFont="1" applyAlignment="1">
      <alignment horizontal="right" wrapText="1"/>
    </xf>
    <xf numFmtId="164" fontId="38" fillId="0" borderId="0" xfId="3" applyNumberFormat="1" applyFont="1" applyAlignment="1">
      <alignment wrapText="1"/>
    </xf>
    <xf numFmtId="44" fontId="5" fillId="0" borderId="0" xfId="6" applyFont="1" applyAlignment="1">
      <alignment wrapText="1"/>
    </xf>
    <xf numFmtId="44" fontId="31" fillId="0" borderId="0" xfId="6" applyFont="1" applyAlignment="1">
      <alignment wrapText="1"/>
    </xf>
    <xf numFmtId="44" fontId="38" fillId="0" borderId="0" xfId="6" applyFont="1" applyAlignment="1">
      <alignment wrapText="1"/>
    </xf>
    <xf numFmtId="44" fontId="34" fillId="0" borderId="0" xfId="6" applyFont="1" applyAlignment="1">
      <alignment wrapText="1"/>
    </xf>
    <xf numFmtId="44" fontId="30" fillId="0" borderId="0" xfId="6" applyFont="1" applyAlignment="1">
      <alignment wrapText="1"/>
    </xf>
    <xf numFmtId="44" fontId="25" fillId="0" borderId="0" xfId="6" applyFont="1" applyAlignment="1">
      <alignment wrapText="1"/>
    </xf>
    <xf numFmtId="14" fontId="36" fillId="0" borderId="0" xfId="3" applyNumberFormat="1" applyFont="1" applyAlignment="1">
      <alignment horizontal="right" wrapText="1"/>
    </xf>
    <xf numFmtId="164" fontId="36" fillId="0" borderId="0" xfId="3" applyNumberFormat="1" applyFont="1" applyAlignment="1">
      <alignment wrapText="1"/>
    </xf>
    <xf numFmtId="164" fontId="36" fillId="0" borderId="0" xfId="6" applyNumberFormat="1" applyFont="1" applyAlignment="1">
      <alignment wrapText="1"/>
    </xf>
    <xf numFmtId="0" fontId="5" fillId="0" borderId="0" xfId="3" applyFont="1" applyAlignment="1"/>
    <xf numFmtId="0" fontId="3" fillId="0" borderId="0" xfId="3" applyAlignment="1">
      <alignment wrapText="1"/>
    </xf>
    <xf numFmtId="0" fontId="3" fillId="6" borderId="6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0" fontId="9" fillId="0" borderId="0" xfId="3" applyFont="1" applyAlignment="1">
      <alignment wrapText="1"/>
    </xf>
    <xf numFmtId="0" fontId="39" fillId="0" borderId="0" xfId="3" applyFont="1" applyAlignment="1">
      <alignment wrapText="1"/>
    </xf>
    <xf numFmtId="14" fontId="39" fillId="0" borderId="0" xfId="3" applyNumberFormat="1" applyFont="1" applyAlignment="1">
      <alignment horizontal="right" wrapText="1"/>
    </xf>
    <xf numFmtId="164" fontId="39" fillId="0" borderId="0" xfId="3" applyNumberFormat="1" applyFont="1" applyAlignment="1">
      <alignment wrapText="1"/>
    </xf>
    <xf numFmtId="14" fontId="40" fillId="0" borderId="0" xfId="3" applyNumberFormat="1" applyFont="1" applyAlignment="1">
      <alignment horizontal="right" wrapText="1"/>
    </xf>
    <xf numFmtId="0" fontId="40" fillId="0" borderId="0" xfId="3" applyFont="1" applyAlignment="1">
      <alignment wrapText="1"/>
    </xf>
    <xf numFmtId="164" fontId="40" fillId="0" borderId="0" xfId="3" applyNumberFormat="1" applyFont="1" applyAlignment="1">
      <alignment wrapText="1"/>
    </xf>
    <xf numFmtId="0" fontId="41" fillId="0" borderId="0" xfId="0" applyFont="1" applyAlignment="1">
      <alignment vertical="top" wrapText="1"/>
    </xf>
    <xf numFmtId="0" fontId="42" fillId="0" borderId="0" xfId="3" applyFont="1" applyAlignment="1">
      <alignment vertical="top" wrapText="1"/>
    </xf>
    <xf numFmtId="164" fontId="42" fillId="0" borderId="0" xfId="6" applyNumberFormat="1" applyFont="1" applyAlignment="1">
      <alignment wrapText="1"/>
    </xf>
    <xf numFmtId="14" fontId="42" fillId="0" borderId="0" xfId="3" applyNumberFormat="1" applyFont="1" applyAlignment="1">
      <alignment horizontal="right" wrapText="1"/>
    </xf>
    <xf numFmtId="0" fontId="42" fillId="0" borderId="0" xfId="3" applyFont="1" applyAlignment="1">
      <alignment wrapText="1"/>
    </xf>
    <xf numFmtId="164" fontId="42" fillId="0" borderId="0" xfId="3" applyNumberFormat="1" applyFont="1" applyAlignment="1">
      <alignment wrapText="1"/>
    </xf>
    <xf numFmtId="164" fontId="40" fillId="0" borderId="0" xfId="6" applyNumberFormat="1" applyFont="1" applyAlignment="1">
      <alignment wrapText="1"/>
    </xf>
    <xf numFmtId="0" fontId="43" fillId="0" borderId="0" xfId="0" applyFont="1" applyAlignment="1">
      <alignment vertical="top" wrapText="1"/>
    </xf>
    <xf numFmtId="164" fontId="39" fillId="0" borderId="0" xfId="6" applyNumberFormat="1" applyFont="1" applyAlignment="1">
      <alignment wrapText="1"/>
    </xf>
    <xf numFmtId="164" fontId="44" fillId="0" borderId="0" xfId="6" applyNumberFormat="1" applyFont="1" applyAlignment="1">
      <alignment wrapText="1"/>
    </xf>
    <xf numFmtId="14" fontId="44" fillId="0" borderId="0" xfId="3" applyNumberFormat="1" applyFont="1" applyAlignment="1">
      <alignment horizontal="right" wrapText="1"/>
    </xf>
    <xf numFmtId="0" fontId="44" fillId="0" borderId="0" xfId="3" applyFont="1" applyAlignment="1">
      <alignment wrapText="1"/>
    </xf>
    <xf numFmtId="164" fontId="44" fillId="0" borderId="0" xfId="3" applyNumberFormat="1" applyFont="1" applyAlignment="1">
      <alignment wrapText="1"/>
    </xf>
    <xf numFmtId="0" fontId="45" fillId="0" borderId="0" xfId="0" applyFont="1" applyAlignment="1">
      <alignment vertical="top" wrapText="1"/>
    </xf>
    <xf numFmtId="164" fontId="26" fillId="0" borderId="0" xfId="6" applyNumberFormat="1" applyFont="1" applyAlignment="1">
      <alignment wrapText="1"/>
    </xf>
    <xf numFmtId="14" fontId="46" fillId="0" borderId="0" xfId="3" applyNumberFormat="1" applyFont="1" applyAlignment="1">
      <alignment horizontal="right" wrapText="1"/>
    </xf>
    <xf numFmtId="0" fontId="46" fillId="0" borderId="0" xfId="3" applyFont="1" applyAlignment="1">
      <alignment wrapText="1"/>
    </xf>
    <xf numFmtId="164" fontId="46" fillId="0" borderId="0" xfId="3" applyNumberFormat="1" applyFont="1" applyAlignment="1">
      <alignment wrapText="1"/>
    </xf>
    <xf numFmtId="0" fontId="16" fillId="0" borderId="0" xfId="0" applyFont="1" applyAlignment="1">
      <alignment vertical="top" wrapText="1"/>
    </xf>
    <xf numFmtId="164" fontId="25" fillId="0" borderId="0" xfId="6" applyNumberFormat="1" applyFont="1" applyAlignment="1">
      <alignment wrapText="1"/>
    </xf>
    <xf numFmtId="164" fontId="46" fillId="0" borderId="0" xfId="6" applyNumberFormat="1" applyFont="1" applyAlignment="1">
      <alignment wrapText="1"/>
    </xf>
    <xf numFmtId="164" fontId="34" fillId="0" borderId="0" xfId="6" applyNumberFormat="1" applyFont="1" applyAlignment="1">
      <alignment wrapText="1"/>
    </xf>
    <xf numFmtId="164" fontId="5" fillId="0" borderId="0" xfId="6" applyNumberFormat="1" applyFont="1" applyAlignment="1">
      <alignment wrapText="1"/>
    </xf>
    <xf numFmtId="164" fontId="47" fillId="0" borderId="0" xfId="3" applyNumberFormat="1" applyFont="1" applyAlignment="1">
      <alignment wrapText="1"/>
    </xf>
    <xf numFmtId="14" fontId="0" fillId="0" borderId="0" xfId="0" applyNumberFormat="1"/>
    <xf numFmtId="0" fontId="16" fillId="0" borderId="0" xfId="0" applyFont="1"/>
    <xf numFmtId="0" fontId="3" fillId="0" borderId="0" xfId="3" applyAlignment="1">
      <alignment wrapText="1"/>
    </xf>
    <xf numFmtId="166" fontId="0" fillId="0" borderId="0" xfId="6" applyNumberFormat="1" applyFont="1" applyAlignment="1">
      <alignment wrapText="1"/>
    </xf>
    <xf numFmtId="166" fontId="5" fillId="0" borderId="0" xfId="3" applyNumberFormat="1" applyFont="1" applyAlignment="1">
      <alignment wrapText="1"/>
    </xf>
    <xf numFmtId="166" fontId="0" fillId="0" borderId="0" xfId="0" applyNumberFormat="1"/>
    <xf numFmtId="164" fontId="3" fillId="0" borderId="0" xfId="3" applyNumberFormat="1" applyAlignment="1">
      <alignment horizontal="center" wrapText="1"/>
    </xf>
    <xf numFmtId="0" fontId="3" fillId="0" borderId="0" xfId="3" applyAlignment="1">
      <alignment horizontal="left" vertical="top" wrapText="1"/>
    </xf>
    <xf numFmtId="0" fontId="3" fillId="6" borderId="6" xfId="3" applyFill="1" applyBorder="1" applyAlignment="1">
      <alignment wrapText="1"/>
    </xf>
    <xf numFmtId="0" fontId="3" fillId="0" borderId="0" xfId="3" applyBorder="1" applyAlignment="1">
      <alignment wrapText="1"/>
    </xf>
    <xf numFmtId="0" fontId="3" fillId="0" borderId="0" xfId="3" applyAlignment="1">
      <alignment wrapText="1"/>
    </xf>
    <xf numFmtId="0" fontId="3" fillId="0" borderId="1" xfId="3" applyBorder="1" applyAlignment="1">
      <alignment wrapText="1"/>
    </xf>
    <xf numFmtId="0" fontId="3" fillId="5" borderId="7" xfId="3" applyFill="1" applyBorder="1" applyAlignment="1">
      <alignment wrapText="1"/>
    </xf>
    <xf numFmtId="0" fontId="3" fillId="5" borderId="9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3" fillId="5" borderId="8" xfId="3" applyFill="1" applyBorder="1" applyAlignment="1">
      <alignment wrapText="1"/>
    </xf>
    <xf numFmtId="0" fontId="7" fillId="5" borderId="7" xfId="3" applyFont="1" applyFill="1" applyBorder="1" applyAlignment="1">
      <alignment wrapText="1"/>
    </xf>
    <xf numFmtId="0" fontId="7" fillId="5" borderId="6" xfId="3" applyFont="1" applyFill="1" applyBorder="1" applyAlignment="1">
      <alignment wrapText="1"/>
    </xf>
    <xf numFmtId="0" fontId="3" fillId="5" borderId="4" xfId="3" applyFill="1" applyBorder="1" applyAlignment="1">
      <alignment wrapText="1"/>
    </xf>
    <xf numFmtId="0" fontId="3" fillId="5" borderId="3" xfId="3" applyFill="1" applyBorder="1" applyAlignment="1">
      <alignment wrapText="1"/>
    </xf>
    <xf numFmtId="0" fontId="3" fillId="5" borderId="2" xfId="3" applyFill="1" applyBorder="1" applyAlignment="1">
      <alignment wrapText="1"/>
    </xf>
    <xf numFmtId="0" fontId="3" fillId="6" borderId="20" xfId="3" applyFill="1" applyBorder="1" applyAlignment="1">
      <alignment horizontal="left" wrapText="1"/>
    </xf>
    <xf numFmtId="0" fontId="3" fillId="6" borderId="7" xfId="3" applyFill="1" applyBorder="1" applyAlignment="1">
      <alignment horizontal="left" wrapText="1"/>
    </xf>
    <xf numFmtId="0" fontId="3" fillId="6" borderId="20" xfId="3" applyFill="1" applyBorder="1" applyAlignment="1">
      <alignment wrapText="1"/>
    </xf>
    <xf numFmtId="0" fontId="3" fillId="6" borderId="7" xfId="3" applyFill="1" applyBorder="1" applyAlignment="1">
      <alignment wrapText="1"/>
    </xf>
    <xf numFmtId="0" fontId="4" fillId="10" borderId="14" xfId="3" applyFont="1" applyFill="1" applyBorder="1" applyAlignment="1">
      <alignment horizontal="center" wrapText="1"/>
    </xf>
    <xf numFmtId="0" fontId="3" fillId="10" borderId="0" xfId="3" applyFill="1" applyAlignment="1">
      <alignment horizontal="center" wrapText="1"/>
    </xf>
    <xf numFmtId="0" fontId="7" fillId="10" borderId="18" xfId="3" applyFont="1" applyFill="1" applyBorder="1" applyAlignment="1">
      <alignment wrapText="1"/>
    </xf>
    <xf numFmtId="0" fontId="7" fillId="10" borderId="17" xfId="3" applyFont="1" applyFill="1" applyBorder="1" applyAlignment="1">
      <alignment wrapText="1"/>
    </xf>
    <xf numFmtId="0" fontId="7" fillId="10" borderId="15" xfId="3" applyFont="1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0" fontId="7" fillId="10" borderId="16" xfId="3" applyFont="1" applyFill="1" applyBorder="1" applyAlignment="1">
      <alignment wrapText="1"/>
    </xf>
    <xf numFmtId="0" fontId="7" fillId="10" borderId="15" xfId="3" applyFont="1" applyFill="1" applyBorder="1" applyAlignment="1">
      <alignment textRotation="90" wrapText="1"/>
    </xf>
    <xf numFmtId="0" fontId="7" fillId="10" borderId="13" xfId="3" applyFont="1" applyFill="1" applyBorder="1" applyAlignment="1">
      <alignment textRotation="90" wrapText="1"/>
    </xf>
    <xf numFmtId="0" fontId="9" fillId="0" borderId="0" xfId="3" applyFont="1" applyAlignment="1">
      <alignment wrapText="1"/>
    </xf>
    <xf numFmtId="0" fontId="13" fillId="0" borderId="0" xfId="3" applyFont="1" applyFill="1" applyAlignment="1">
      <alignment wrapText="1"/>
    </xf>
    <xf numFmtId="0" fontId="12" fillId="0" borderId="0" xfId="3" applyFont="1" applyFill="1" applyAlignment="1">
      <alignment wrapText="1"/>
    </xf>
    <xf numFmtId="0" fontId="4" fillId="6" borderId="19" xfId="3" applyFont="1" applyFill="1" applyBorder="1" applyAlignment="1">
      <alignment wrapText="1"/>
    </xf>
    <xf numFmtId="0" fontId="11" fillId="0" borderId="0" xfId="3" applyFont="1" applyAlignment="1">
      <alignment wrapText="1"/>
    </xf>
    <xf numFmtId="0" fontId="3" fillId="0" borderId="30" xfId="3" applyBorder="1" applyAlignment="1">
      <alignment wrapText="1"/>
    </xf>
    <xf numFmtId="0" fontId="3" fillId="0" borderId="31" xfId="3" applyBorder="1" applyAlignment="1">
      <alignment wrapText="1"/>
    </xf>
    <xf numFmtId="0" fontId="3" fillId="5" borderId="21" xfId="3" applyFill="1" applyBorder="1" applyAlignment="1">
      <alignment wrapText="1"/>
    </xf>
    <xf numFmtId="0" fontId="3" fillId="5" borderId="29" xfId="3" applyFill="1" applyBorder="1" applyAlignment="1">
      <alignment wrapText="1"/>
    </xf>
    <xf numFmtId="0" fontId="7" fillId="5" borderId="28" xfId="3" applyFont="1" applyFill="1" applyBorder="1" applyAlignment="1">
      <alignment wrapText="1"/>
    </xf>
    <xf numFmtId="0" fontId="3" fillId="5" borderId="26" xfId="3" applyFill="1" applyBorder="1" applyAlignment="1">
      <alignment wrapText="1"/>
    </xf>
    <xf numFmtId="0" fontId="3" fillId="5" borderId="27" xfId="3" applyFill="1" applyBorder="1" applyAlignment="1">
      <alignment wrapText="1"/>
    </xf>
    <xf numFmtId="0" fontId="3" fillId="0" borderId="19" xfId="3" applyBorder="1" applyAlignment="1">
      <alignment wrapText="1"/>
    </xf>
    <xf numFmtId="0" fontId="7" fillId="10" borderId="9" xfId="3" applyFont="1" applyFill="1" applyBorder="1" applyAlignment="1">
      <alignment textRotation="90" wrapText="1"/>
    </xf>
    <xf numFmtId="0" fontId="7" fillId="10" borderId="9" xfId="3" applyFont="1" applyFill="1" applyBorder="1" applyAlignment="1">
      <alignment wrapText="1"/>
    </xf>
    <xf numFmtId="0" fontId="7" fillId="10" borderId="22" xfId="3" applyFont="1" applyFill="1" applyBorder="1" applyAlignment="1">
      <alignment wrapText="1"/>
    </xf>
    <xf numFmtId="0" fontId="7" fillId="10" borderId="23" xfId="3" applyFont="1" applyFill="1" applyBorder="1" applyAlignment="1">
      <alignment wrapText="1"/>
    </xf>
    <xf numFmtId="0" fontId="7" fillId="10" borderId="24" xfId="3" applyFont="1" applyFill="1" applyBorder="1" applyAlignment="1">
      <alignment wrapText="1"/>
    </xf>
    <xf numFmtId="0" fontId="7" fillId="10" borderId="25" xfId="3" applyFont="1" applyFill="1" applyBorder="1" applyAlignment="1">
      <alignment wrapText="1"/>
    </xf>
    <xf numFmtId="0" fontId="3" fillId="6" borderId="6" xfId="3" applyFill="1" applyBorder="1" applyAlignment="1">
      <alignment horizontal="left" wrapText="1"/>
    </xf>
    <xf numFmtId="0" fontId="3" fillId="6" borderId="20" xfId="3" applyFill="1" applyBorder="1" applyAlignment="1">
      <alignment horizontal="left" vertical="top" wrapText="1"/>
    </xf>
    <xf numFmtId="0" fontId="3" fillId="6" borderId="7" xfId="3" applyFill="1" applyBorder="1" applyAlignment="1">
      <alignment horizontal="left" vertical="top" wrapText="1"/>
    </xf>
    <xf numFmtId="0" fontId="3" fillId="6" borderId="20" xfId="3" applyFill="1" applyBorder="1" applyAlignment="1">
      <alignment horizontal="center" wrapText="1"/>
    </xf>
    <xf numFmtId="0" fontId="3" fillId="6" borderId="7" xfId="3" applyFill="1" applyBorder="1" applyAlignment="1">
      <alignment horizontal="center" wrapText="1"/>
    </xf>
    <xf numFmtId="0" fontId="4" fillId="6" borderId="6" xfId="3" applyFont="1" applyFill="1" applyBorder="1" applyAlignment="1">
      <alignment wrapText="1"/>
    </xf>
    <xf numFmtId="0" fontId="4" fillId="0" borderId="14" xfId="3" applyFont="1" applyBorder="1" applyAlignment="1">
      <alignment horizontal="center" wrapText="1"/>
    </xf>
    <xf numFmtId="0" fontId="3" fillId="0" borderId="0" xfId="3" applyAlignment="1">
      <alignment horizontal="center" wrapText="1"/>
    </xf>
    <xf numFmtId="0" fontId="3" fillId="6" borderId="0" xfId="3" applyFill="1" applyBorder="1" applyAlignment="1">
      <alignment horizontal="left" wrapText="1"/>
    </xf>
    <xf numFmtId="0" fontId="7" fillId="7" borderId="18" xfId="3" applyFont="1" applyFill="1" applyBorder="1" applyAlignment="1">
      <alignment wrapText="1"/>
    </xf>
    <xf numFmtId="0" fontId="7" fillId="7" borderId="17" xfId="3" applyFont="1" applyFill="1" applyBorder="1" applyAlignment="1">
      <alignment wrapText="1"/>
    </xf>
    <xf numFmtId="0" fontId="7" fillId="7" borderId="15" xfId="3" applyFont="1" applyFill="1" applyBorder="1" applyAlignment="1">
      <alignment wrapText="1"/>
    </xf>
    <xf numFmtId="0" fontId="7" fillId="7" borderId="13" xfId="3" applyFont="1" applyFill="1" applyBorder="1" applyAlignment="1">
      <alignment wrapText="1"/>
    </xf>
    <xf numFmtId="0" fontId="7" fillId="7" borderId="16" xfId="3" applyFont="1" applyFill="1" applyBorder="1" applyAlignment="1">
      <alignment wrapText="1"/>
    </xf>
    <xf numFmtId="0" fontId="7" fillId="7" borderId="15" xfId="3" applyFont="1" applyFill="1" applyBorder="1" applyAlignment="1">
      <alignment textRotation="90" wrapText="1"/>
    </xf>
    <xf numFmtId="0" fontId="7" fillId="7" borderId="13" xfId="3" applyFont="1" applyFill="1" applyBorder="1" applyAlignment="1">
      <alignment textRotation="90" wrapText="1"/>
    </xf>
    <xf numFmtId="0" fontId="3" fillId="0" borderId="0" xfId="3" applyAlignment="1">
      <alignment horizontal="right" wrapText="1"/>
    </xf>
    <xf numFmtId="14" fontId="3" fillId="0" borderId="0" xfId="3" applyNumberFormat="1" applyAlignment="1">
      <alignment horizontal="right" wrapText="1"/>
    </xf>
    <xf numFmtId="0" fontId="48" fillId="0" borderId="0" xfId="3" applyFont="1"/>
    <xf numFmtId="44" fontId="48" fillId="0" borderId="0" xfId="6" applyFont="1"/>
    <xf numFmtId="0" fontId="49" fillId="0" borderId="0" xfId="3" applyFont="1"/>
    <xf numFmtId="44" fontId="49" fillId="0" borderId="0" xfId="6" applyFont="1"/>
    <xf numFmtId="0" fontId="50" fillId="0" borderId="0" xfId="0" applyFont="1" applyAlignment="1">
      <alignment wrapText="1"/>
    </xf>
    <xf numFmtId="14" fontId="49" fillId="0" borderId="0" xfId="3" applyNumberFormat="1" applyFont="1"/>
    <xf numFmtId="0" fontId="49" fillId="0" borderId="0" xfId="3" applyFont="1" applyAlignment="1">
      <alignment wrapText="1"/>
    </xf>
    <xf numFmtId="0" fontId="51" fillId="0" borderId="0" xfId="3" applyFont="1"/>
    <xf numFmtId="44" fontId="51" fillId="0" borderId="0" xfId="6" applyFont="1"/>
    <xf numFmtId="14" fontId="51" fillId="0" borderId="0" xfId="3" applyNumberFormat="1" applyFont="1"/>
    <xf numFmtId="14" fontId="52" fillId="0" borderId="0" xfId="3" applyNumberFormat="1" applyFont="1"/>
    <xf numFmtId="0" fontId="52" fillId="0" borderId="0" xfId="3" applyFont="1" applyAlignment="1">
      <alignment wrapText="1"/>
    </xf>
    <xf numFmtId="44" fontId="52" fillId="0" borderId="0" xfId="6" applyFont="1"/>
    <xf numFmtId="14" fontId="53" fillId="0" borderId="0" xfId="3" applyNumberFormat="1" applyFont="1"/>
    <xf numFmtId="0" fontId="53" fillId="0" borderId="0" xfId="3" applyFont="1" applyAlignment="1">
      <alignment wrapText="1"/>
    </xf>
    <xf numFmtId="44" fontId="53" fillId="0" borderId="0" xfId="6" applyFont="1"/>
    <xf numFmtId="14" fontId="29" fillId="0" borderId="0" xfId="0" applyNumberFormat="1" applyFont="1" applyAlignment="1">
      <alignment vertical="top" wrapText="1"/>
    </xf>
    <xf numFmtId="44" fontId="29" fillId="0" borderId="0" xfId="6" applyFont="1" applyAlignment="1">
      <alignment vertical="top" wrapText="1"/>
    </xf>
    <xf numFmtId="14" fontId="26" fillId="0" borderId="0" xfId="3" applyNumberFormat="1" applyFont="1" applyAlignment="1">
      <alignment horizontal="right" vertical="top" wrapText="1"/>
    </xf>
    <xf numFmtId="0" fontId="26" fillId="0" borderId="0" xfId="3" applyFont="1" applyAlignment="1">
      <alignment vertical="top" wrapText="1"/>
    </xf>
    <xf numFmtId="44" fontId="26" fillId="0" borderId="0" xfId="6" applyFont="1" applyAlignment="1">
      <alignment vertical="top" wrapText="1"/>
    </xf>
    <xf numFmtId="0" fontId="53" fillId="0" borderId="0" xfId="3" applyFont="1"/>
    <xf numFmtId="0" fontId="54" fillId="0" borderId="0" xfId="3" applyFont="1"/>
    <xf numFmtId="44" fontId="54" fillId="0" borderId="0" xfId="6" applyFont="1"/>
    <xf numFmtId="14" fontId="54" fillId="0" borderId="0" xfId="3" applyNumberFormat="1" applyFont="1"/>
    <xf numFmtId="0" fontId="54" fillId="0" borderId="0" xfId="3" applyFont="1" applyAlignment="1">
      <alignment wrapText="1"/>
    </xf>
    <xf numFmtId="0" fontId="55" fillId="0" borderId="0" xfId="3" applyFont="1"/>
    <xf numFmtId="0" fontId="20" fillId="13" borderId="0" xfId="8"/>
    <xf numFmtId="44" fontId="20" fillId="13" borderId="0" xfId="8" applyNumberFormat="1"/>
    <xf numFmtId="0" fontId="20" fillId="13" borderId="0" xfId="8" applyAlignment="1">
      <alignment wrapText="1"/>
    </xf>
    <xf numFmtId="0" fontId="56" fillId="0" borderId="32" xfId="3" applyFont="1" applyBorder="1" applyAlignment="1">
      <alignment wrapText="1"/>
    </xf>
    <xf numFmtId="44" fontId="56" fillId="0" borderId="33" xfId="3" applyNumberFormat="1" applyFont="1" applyBorder="1"/>
    <xf numFmtId="0" fontId="57" fillId="0" borderId="34" xfId="3" applyFont="1" applyBorder="1" applyAlignment="1">
      <alignment vertical="center" wrapText="1"/>
    </xf>
    <xf numFmtId="0" fontId="57" fillId="0" borderId="35" xfId="3" applyFont="1" applyBorder="1"/>
  </cellXfs>
  <cellStyles count="10">
    <cellStyle name="Bad" xfId="8" builtinId="27"/>
    <cellStyle name="Comma 2" xfId="5"/>
    <cellStyle name="Currency" xfId="6" builtinId="4"/>
    <cellStyle name="Good" xfId="1" builtinId="26"/>
    <cellStyle name="Neutral" xfId="2" builtinId="28"/>
    <cellStyle name="Normal" xfId="0" builtinId="0"/>
    <cellStyle name="Normal 2" xfId="3"/>
    <cellStyle name="Normal 2 2" xfId="9"/>
    <cellStyle name="Percent" xfId="7" builtinId="5"/>
    <cellStyle name="Percent 2" xfId="4"/>
  </cellStyles>
  <dxfs count="0"/>
  <tableStyles count="0" defaultTableStyle="TableStyleMedium2" defaultPivotStyle="PivotStyleMedium9"/>
  <colors>
    <mruColors>
      <color rgb="FFFF00FF"/>
      <color rgb="FF00FF00"/>
      <color rgb="FFCC3300"/>
      <color rgb="FF66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0"/>
  <sheetViews>
    <sheetView workbookViewId="0">
      <selection activeCell="E19" sqref="E19"/>
    </sheetView>
  </sheetViews>
  <sheetFormatPr defaultColWidth="8.85546875" defaultRowHeight="15" x14ac:dyDescent="0.25"/>
  <cols>
    <col min="1" max="2" width="8.85546875" style="54"/>
    <col min="3" max="3" width="28.28515625" style="54" customWidth="1"/>
    <col min="4" max="6" width="11.5703125" style="54" customWidth="1"/>
    <col min="7" max="7" width="12.7109375" style="54" customWidth="1"/>
    <col min="8" max="8" width="1" style="55" customWidth="1"/>
    <col min="9" max="9" width="12.85546875" style="56" customWidth="1"/>
    <col min="10" max="10" width="8.85546875" style="54"/>
    <col min="11" max="11" width="27.7109375" style="54" customWidth="1"/>
    <col min="12" max="12" width="8.85546875" style="54"/>
    <col min="13" max="13" width="10.85546875" style="54" bestFit="1" customWidth="1"/>
    <col min="14" max="16384" width="8.85546875" style="54"/>
  </cols>
  <sheetData>
    <row r="1" spans="3:13" ht="28.9" customHeight="1" x14ac:dyDescent="0.3">
      <c r="K1" s="78" t="s">
        <v>152</v>
      </c>
      <c r="L1"/>
    </row>
    <row r="2" spans="3:13" ht="28.9" x14ac:dyDescent="0.3">
      <c r="D2" s="54" t="s">
        <v>110</v>
      </c>
      <c r="E2" s="54" t="s">
        <v>109</v>
      </c>
      <c r="F2" s="54" t="s">
        <v>111</v>
      </c>
      <c r="G2" s="54" t="s">
        <v>112</v>
      </c>
      <c r="I2" s="56" t="s">
        <v>71</v>
      </c>
      <c r="K2" s="79">
        <v>0.4</v>
      </c>
      <c r="L2"/>
    </row>
    <row r="3" spans="3:13" ht="28.9" x14ac:dyDescent="0.3">
      <c r="C3" s="54" t="s">
        <v>108</v>
      </c>
      <c r="D3" s="57">
        <f>SUM('Business Income'!C9)</f>
        <v>60509.299999999988</v>
      </c>
      <c r="E3" s="57">
        <f>SUM('Business Income'!L9)</f>
        <v>81726.499999999985</v>
      </c>
      <c r="F3" s="57">
        <f>SUM('Business Income'!U9)</f>
        <v>84910.029999999984</v>
      </c>
      <c r="G3" s="57">
        <f>SUM('Business Income'!AD9)</f>
        <v>130254.95999999998</v>
      </c>
      <c r="H3" s="58"/>
      <c r="I3" s="59">
        <f>SUM(D3:G3)</f>
        <v>357400.78999999992</v>
      </c>
      <c r="K3" s="78">
        <f>((I3+I9)-(I4+I6+I11+I14))*K2</f>
        <v>73114.20199999999</v>
      </c>
      <c r="L3"/>
    </row>
    <row r="4" spans="3:13" ht="14.45" x14ac:dyDescent="0.3">
      <c r="C4" s="54" t="s">
        <v>155</v>
      </c>
      <c r="D4" s="57">
        <f>D3-(D5+D6)</f>
        <v>17912.939499999993</v>
      </c>
      <c r="E4" s="57">
        <f>E3-(E5+E6)</f>
        <v>24499.484999999986</v>
      </c>
      <c r="F4" s="57">
        <f>F3-(F5+F6)</f>
        <v>25270.859999999986</v>
      </c>
      <c r="G4" s="57">
        <f>G3-(G5+G6)</f>
        <v>36723.872099999979</v>
      </c>
      <c r="H4" s="58"/>
      <c r="I4" s="59">
        <f>SUM(D4:G4)</f>
        <v>104407.15659999994</v>
      </c>
      <c r="K4"/>
      <c r="L4"/>
    </row>
    <row r="5" spans="3:13" ht="14.45" x14ac:dyDescent="0.3">
      <c r="C5" s="54" t="s">
        <v>153</v>
      </c>
      <c r="D5" s="57">
        <f>SUM('Business Income'!F9)</f>
        <v>40805.1</v>
      </c>
      <c r="E5" s="57">
        <f>SUM('Business Income'!O9)</f>
        <v>54775.104999999996</v>
      </c>
      <c r="F5" s="57">
        <f>SUM('Business Income'!X9)</f>
        <v>57094.329999999994</v>
      </c>
      <c r="G5" s="57">
        <f>SUM('Business Income'!AG9)</f>
        <v>89638.98</v>
      </c>
      <c r="H5" s="58"/>
      <c r="I5" s="59">
        <f>SUM(D5:G5)</f>
        <v>242313.51499999996</v>
      </c>
      <c r="K5" s="54" t="s">
        <v>160</v>
      </c>
      <c r="M5" s="67"/>
    </row>
    <row r="6" spans="3:13" ht="14.45" x14ac:dyDescent="0.3">
      <c r="C6" s="73" t="s">
        <v>107</v>
      </c>
      <c r="D6" s="74">
        <f>SUM('Business Income'!E9)</f>
        <v>1791.2605000000001</v>
      </c>
      <c r="E6" s="74">
        <f>SUM('Business Income'!N9)</f>
        <v>2451.91</v>
      </c>
      <c r="F6" s="74">
        <f>SUM('Business Income'!W9)</f>
        <v>2544.84</v>
      </c>
      <c r="G6" s="74">
        <f>SUM('Business Income'!AF9)</f>
        <v>3892.1079</v>
      </c>
      <c r="H6" s="75"/>
      <c r="I6" s="59">
        <f>SUM(D6:G6)</f>
        <v>10680.118399999999</v>
      </c>
    </row>
    <row r="7" spans="3:13" ht="14.45" x14ac:dyDescent="0.3">
      <c r="C7" s="80" t="s">
        <v>157</v>
      </c>
      <c r="D7" s="81">
        <f>SUM('Business Income'!G9)</f>
        <v>12241.529699999999</v>
      </c>
      <c r="E7" s="81">
        <f>SUM('Business Income'!P9)</f>
        <v>16426.532999999999</v>
      </c>
      <c r="F7" s="81">
        <f>SUM('Business Income'!Y9)</f>
        <v>17123.451120000002</v>
      </c>
      <c r="G7" s="81">
        <f>SUM('Business Income'!AH9)</f>
        <v>26238.5913</v>
      </c>
      <c r="H7" s="82"/>
      <c r="I7" s="83">
        <f>SUM(D7:G7)</f>
        <v>72030.105119999993</v>
      </c>
      <c r="K7" s="98">
        <f>I3+I9</f>
        <v>407668.79999999993</v>
      </c>
    </row>
    <row r="8" spans="3:13" ht="18" x14ac:dyDescent="0.3">
      <c r="C8" s="60"/>
      <c r="D8" s="61"/>
      <c r="E8" s="61"/>
      <c r="F8" s="61"/>
      <c r="G8" s="61"/>
      <c r="H8" s="62"/>
      <c r="I8" s="63"/>
    </row>
    <row r="9" spans="3:13" ht="14.45" x14ac:dyDescent="0.3">
      <c r="C9" s="54" t="s">
        <v>113</v>
      </c>
      <c r="D9" s="57">
        <f>SUM('Business Income'!C40:C45)</f>
        <v>5137.2199999999993</v>
      </c>
      <c r="E9" s="57">
        <f>SUM('Business Income'!L40:L45)</f>
        <v>16772.29</v>
      </c>
      <c r="F9" s="57">
        <f>SUM('Business Income'!U40:U45)</f>
        <v>28358.5</v>
      </c>
      <c r="G9" s="57">
        <f>SUM('Business Income'!AD40:AD45)</f>
        <v>0</v>
      </c>
      <c r="H9" s="58"/>
      <c r="I9" s="59">
        <f>SUM(D9:G9)</f>
        <v>50268.01</v>
      </c>
      <c r="K9" s="54" t="s">
        <v>163</v>
      </c>
    </row>
    <row r="10" spans="3:13" ht="14.45" x14ac:dyDescent="0.3">
      <c r="D10" s="57"/>
      <c r="E10" s="57"/>
      <c r="F10" s="57"/>
      <c r="G10" s="57"/>
      <c r="H10" s="58"/>
      <c r="I10" s="59"/>
    </row>
    <row r="11" spans="3:13" x14ac:dyDescent="0.25">
      <c r="C11" s="73" t="s">
        <v>117</v>
      </c>
      <c r="D11" s="74">
        <f>SUM('Business Expenses1st quarter'!C7)</f>
        <v>7388.880000000001</v>
      </c>
      <c r="E11" s="74">
        <f>SUM('Business Expenses2nd quarter'!C6)</f>
        <v>47659.22</v>
      </c>
      <c r="F11" s="74">
        <f>SUM('Business Expenses3rd quarter'!C7)</f>
        <v>18381.770000000004</v>
      </c>
      <c r="G11" s="74">
        <f>SUM('Business Expenses4th quarter'!C7)</f>
        <v>34718.730000000003</v>
      </c>
      <c r="H11" s="75"/>
      <c r="I11" s="59">
        <f>SUM(D11:G11)</f>
        <v>108148.6</v>
      </c>
      <c r="K11" s="67">
        <f>(I3+I9+I19)-(I4+I6+I20+K3)</f>
        <v>226087.323</v>
      </c>
    </row>
    <row r="12" spans="3:13" ht="14.45" x14ac:dyDescent="0.3">
      <c r="C12" s="54" t="s">
        <v>118</v>
      </c>
      <c r="D12" s="64"/>
      <c r="E12" s="64">
        <f>SUM('Business Expenses2nd quarter'!F:F)</f>
        <v>194610.83</v>
      </c>
      <c r="F12" s="64">
        <f>SUM('Business Expenses3rd quarter'!F:F)</f>
        <v>122802</v>
      </c>
      <c r="G12" s="64">
        <f>SUM('Business Expenses4th quarter'!F:F)</f>
        <v>0</v>
      </c>
      <c r="H12" s="58"/>
      <c r="I12" s="65">
        <f>SUM(D12:G12)</f>
        <v>317412.82999999996</v>
      </c>
      <c r="J12" s="54" t="s">
        <v>119</v>
      </c>
    </row>
    <row r="13" spans="3:13" ht="14.45" x14ac:dyDescent="0.3">
      <c r="D13" s="57"/>
      <c r="E13" s="57"/>
      <c r="F13" s="57"/>
      <c r="G13" s="57"/>
      <c r="H13" s="58"/>
      <c r="I13" s="59"/>
    </row>
    <row r="14" spans="3:13" ht="14.45" x14ac:dyDescent="0.3">
      <c r="C14" s="73" t="s">
        <v>121</v>
      </c>
      <c r="D14" s="74"/>
      <c r="E14" s="77">
        <f>'Mileage2nd quarter'!K65</f>
        <v>669.78000000000009</v>
      </c>
      <c r="F14" s="77">
        <f>'Mileage3rd quarter'!K82</f>
        <v>977.63999999999987</v>
      </c>
      <c r="G14" s="77">
        <f>'Mileage4th quarter'!K91</f>
        <v>0</v>
      </c>
      <c r="H14" s="75"/>
      <c r="I14" s="76">
        <f>SUM(D14:G14)</f>
        <v>1647.42</v>
      </c>
    </row>
    <row r="15" spans="3:13" ht="14.45" x14ac:dyDescent="0.3">
      <c r="C15" s="54" t="s">
        <v>120</v>
      </c>
      <c r="D15" s="64"/>
      <c r="E15" s="64">
        <f>'Mileage2nd quarter'!I65</f>
        <v>6790</v>
      </c>
      <c r="F15" s="64">
        <f>'Mileage3rd quarter'!I82</f>
        <v>10854</v>
      </c>
      <c r="G15" s="64">
        <f>'Mileage4th quarter'!I91</f>
        <v>0</v>
      </c>
      <c r="H15" s="66"/>
      <c r="I15" s="65">
        <f>SUM(D15:G15)</f>
        <v>17644</v>
      </c>
      <c r="J15" s="54" t="s">
        <v>119</v>
      </c>
    </row>
    <row r="16" spans="3:13" ht="14.45" x14ac:dyDescent="0.3">
      <c r="D16" s="57"/>
      <c r="E16" s="57"/>
      <c r="F16" s="57"/>
      <c r="G16" s="57"/>
      <c r="H16" s="58"/>
      <c r="I16" s="59"/>
    </row>
    <row r="17" spans="3:9" ht="14.45" x14ac:dyDescent="0.3">
      <c r="D17" s="57"/>
      <c r="E17" s="57"/>
      <c r="F17" s="57"/>
      <c r="G17" s="57"/>
      <c r="H17" s="58"/>
      <c r="I17" s="59"/>
    </row>
    <row r="18" spans="3:9" ht="14.45" x14ac:dyDescent="0.3">
      <c r="C18" s="54" t="s">
        <v>140</v>
      </c>
      <c r="D18" s="57"/>
      <c r="E18" s="57"/>
      <c r="F18" s="57"/>
      <c r="G18" s="57"/>
      <c r="H18" s="58"/>
      <c r="I18" s="59"/>
    </row>
    <row r="19" spans="3:9" ht="14.45" x14ac:dyDescent="0.3">
      <c r="C19" s="54" t="s">
        <v>161</v>
      </c>
      <c r="D19" s="57">
        <f>SUM('PAYG expenses '!C1+'PAYG expenses '!H1+'PAYG expenses '!M1+'PAYG expenses '!R1)</f>
        <v>9200</v>
      </c>
      <c r="E19" s="57"/>
      <c r="F19" s="57"/>
      <c r="G19" s="57"/>
      <c r="H19" s="58"/>
      <c r="I19" s="59">
        <f>SUM(D19:G19)</f>
        <v>9200</v>
      </c>
    </row>
    <row r="20" spans="3:9" ht="14.45" x14ac:dyDescent="0.3">
      <c r="C20" s="54" t="s">
        <v>162</v>
      </c>
      <c r="D20" s="57">
        <f>'PAYG expenses '!D1+'PAYG expenses '!I1+'PAYG expenses '!N1+'PAYG expenses '!S1</f>
        <v>2580</v>
      </c>
      <c r="E20" s="57"/>
      <c r="F20" s="57"/>
      <c r="G20" s="57"/>
      <c r="H20" s="58"/>
      <c r="I20" s="59">
        <f>SUM(D20:G20)</f>
        <v>2580</v>
      </c>
    </row>
    <row r="21" spans="3:9" ht="14.45" x14ac:dyDescent="0.3">
      <c r="D21" s="57"/>
      <c r="E21" s="57"/>
      <c r="F21" s="57"/>
      <c r="G21" s="57"/>
      <c r="H21" s="58"/>
      <c r="I21" s="59">
        <f>SUM(D21:G21)</f>
        <v>0</v>
      </c>
    </row>
    <row r="22" spans="3:9" ht="14.45" x14ac:dyDescent="0.3">
      <c r="D22" s="57"/>
      <c r="E22" s="57"/>
      <c r="F22" s="57"/>
      <c r="G22" s="57"/>
      <c r="H22" s="58"/>
      <c r="I22" s="59">
        <f>SUM(D22:G22)</f>
        <v>0</v>
      </c>
    </row>
    <row r="23" spans="3:9" ht="14.45" x14ac:dyDescent="0.3">
      <c r="D23" s="57"/>
      <c r="E23" s="57"/>
      <c r="F23" s="57"/>
      <c r="G23" s="57"/>
      <c r="H23" s="58"/>
      <c r="I23" s="59"/>
    </row>
    <row r="24" spans="3:9" x14ac:dyDescent="0.25">
      <c r="D24" s="57"/>
      <c r="E24" s="57"/>
      <c r="F24" s="57"/>
      <c r="G24" s="57"/>
      <c r="H24" s="58"/>
      <c r="I24" s="59">
        <f>SUM(D24:G24)</f>
        <v>0</v>
      </c>
    </row>
    <row r="25" spans="3:9" x14ac:dyDescent="0.25">
      <c r="D25" s="57"/>
      <c r="E25" s="57"/>
      <c r="F25" s="57"/>
      <c r="G25" s="57"/>
      <c r="H25" s="58"/>
      <c r="I25" s="59">
        <f>SUM(D25:G25)</f>
        <v>0</v>
      </c>
    </row>
    <row r="26" spans="3:9" x14ac:dyDescent="0.25">
      <c r="D26" s="57"/>
      <c r="E26" s="57"/>
      <c r="F26" s="57"/>
      <c r="G26" s="57"/>
      <c r="H26" s="58"/>
      <c r="I26" s="59">
        <f>SUM(D26:G26)</f>
        <v>0</v>
      </c>
    </row>
    <row r="27" spans="3:9" x14ac:dyDescent="0.25">
      <c r="D27" s="57"/>
      <c r="E27" s="57"/>
      <c r="F27" s="57"/>
      <c r="G27" s="57"/>
      <c r="H27" s="58"/>
      <c r="I27" s="59">
        <f>SUM(D27:G27)</f>
        <v>0</v>
      </c>
    </row>
    <row r="28" spans="3:9" x14ac:dyDescent="0.25">
      <c r="D28" s="57"/>
      <c r="E28" s="57"/>
      <c r="F28" s="57"/>
      <c r="G28" s="57"/>
      <c r="H28" s="58"/>
      <c r="I28" s="59"/>
    </row>
    <row r="29" spans="3:9" x14ac:dyDescent="0.25">
      <c r="D29" s="57"/>
      <c r="E29" s="57"/>
      <c r="F29" s="57"/>
      <c r="G29" s="57"/>
      <c r="H29" s="58"/>
      <c r="I29" s="59">
        <f>SUM(D29:G29)</f>
        <v>0</v>
      </c>
    </row>
    <row r="30" spans="3:9" x14ac:dyDescent="0.25">
      <c r="D30" s="57"/>
      <c r="E30" s="57"/>
      <c r="F30" s="57"/>
      <c r="G30" s="57"/>
      <c r="H30" s="58"/>
      <c r="I30" s="59"/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4"/>
  <sheetViews>
    <sheetView topLeftCell="A22" workbookViewId="0">
      <selection activeCell="B26" sqref="B26"/>
    </sheetView>
  </sheetViews>
  <sheetFormatPr defaultColWidth="8.85546875" defaultRowHeight="12.75" x14ac:dyDescent="0.2"/>
  <cols>
    <col min="1" max="1" width="14.28515625" style="5" customWidth="1"/>
    <col min="2" max="2" width="34.42578125" style="3" customWidth="1"/>
    <col min="3" max="3" width="14" style="4" customWidth="1"/>
    <col min="4" max="4" width="24.5703125" style="3" customWidth="1"/>
    <col min="5" max="5" width="10.85546875" style="3" customWidth="1"/>
    <col min="6" max="6" width="19.140625" style="3" customWidth="1"/>
    <col min="7" max="7" width="24" style="3" customWidth="1"/>
    <col min="8" max="8" width="15.5703125" style="3" customWidth="1"/>
    <col min="9" max="16384" width="8.85546875" style="3"/>
  </cols>
  <sheetData>
    <row r="2" spans="1:9" ht="13.9" x14ac:dyDescent="0.3">
      <c r="B2" s="3" t="s">
        <v>41</v>
      </c>
    </row>
    <row r="4" spans="1:9" s="7" customFormat="1" ht="13.9" x14ac:dyDescent="0.3">
      <c r="A4" s="8"/>
      <c r="B4" s="7" t="s">
        <v>12</v>
      </c>
      <c r="C4" s="13" t="s">
        <v>11</v>
      </c>
      <c r="D4" s="7" t="s">
        <v>10</v>
      </c>
    </row>
    <row r="5" spans="1:9" ht="16.149999999999999" customHeight="1" x14ac:dyDescent="0.3">
      <c r="B5" s="3" t="s">
        <v>9</v>
      </c>
      <c r="C5" s="12" t="s">
        <v>8</v>
      </c>
      <c r="D5" s="3" t="s">
        <v>7</v>
      </c>
      <c r="G5" s="11" t="s">
        <v>6</v>
      </c>
      <c r="I5" s="3" t="s">
        <v>5</v>
      </c>
    </row>
    <row r="7" spans="1:9" ht="14.45" x14ac:dyDescent="0.3">
      <c r="A7" s="5" t="s">
        <v>2</v>
      </c>
      <c r="B7" s="10" t="s">
        <v>40</v>
      </c>
      <c r="C7" s="9">
        <f>SUM(C9:C182)</f>
        <v>18381.770000000004</v>
      </c>
      <c r="D7" s="3" t="s">
        <v>3</v>
      </c>
      <c r="E7" s="4">
        <f>C7*0.1</f>
        <v>1838.1770000000006</v>
      </c>
    </row>
    <row r="8" spans="1:9" ht="13.9" x14ac:dyDescent="0.3">
      <c r="G8" s="4"/>
    </row>
    <row r="9" spans="1:9" s="40" customFormat="1" ht="14.45" x14ac:dyDescent="0.3">
      <c r="A9" s="41"/>
    </row>
    <row r="10" spans="1:9" ht="13.9" x14ac:dyDescent="0.3">
      <c r="A10" s="205">
        <v>40909</v>
      </c>
      <c r="B10" s="206" t="s">
        <v>336</v>
      </c>
      <c r="C10" s="207">
        <v>10</v>
      </c>
      <c r="D10" s="4"/>
      <c r="F10" s="203" t="s">
        <v>293</v>
      </c>
      <c r="G10" s="204">
        <f>SUM(C10,C43,C24)</f>
        <v>30</v>
      </c>
    </row>
    <row r="11" spans="1:9" ht="14.45" x14ac:dyDescent="0.3">
      <c r="A11" s="217">
        <v>40911</v>
      </c>
      <c r="B11" s="218" t="s">
        <v>337</v>
      </c>
      <c r="C11" s="219">
        <v>61.12</v>
      </c>
      <c r="F11" s="202" t="s">
        <v>294</v>
      </c>
      <c r="G11" s="208">
        <f>SUM(C20,C35,C53)</f>
        <v>601.11</v>
      </c>
    </row>
    <row r="12" spans="1:9" ht="28.9" x14ac:dyDescent="0.3">
      <c r="A12" s="217">
        <v>40912</v>
      </c>
      <c r="B12" s="218" t="s">
        <v>182</v>
      </c>
      <c r="C12" s="219">
        <v>54</v>
      </c>
      <c r="F12" s="209" t="s">
        <v>295</v>
      </c>
      <c r="G12" s="210">
        <f>SUM(C16,C26,C47,C49,C56,C57)</f>
        <v>6596.36</v>
      </c>
    </row>
    <row r="13" spans="1:9" ht="28.9" x14ac:dyDescent="0.3">
      <c r="A13" s="173">
        <v>40913</v>
      </c>
      <c r="B13" s="172" t="s">
        <v>339</v>
      </c>
      <c r="C13" s="174">
        <v>331</v>
      </c>
      <c r="F13" s="99" t="s">
        <v>296</v>
      </c>
      <c r="G13" s="181"/>
    </row>
    <row r="14" spans="1:9" ht="14.45" x14ac:dyDescent="0.3">
      <c r="A14" s="152">
        <v>40915</v>
      </c>
      <c r="B14" s="150" t="s">
        <v>313</v>
      </c>
      <c r="C14" s="153">
        <v>354.24</v>
      </c>
      <c r="F14" s="215" t="s">
        <v>297</v>
      </c>
      <c r="G14" s="211">
        <f>SUM(C19,C34,C38,C51)</f>
        <v>568</v>
      </c>
    </row>
    <row r="15" spans="1:9" ht="14.45" x14ac:dyDescent="0.3">
      <c r="A15" s="173">
        <v>40917</v>
      </c>
      <c r="B15" s="172" t="s">
        <v>339</v>
      </c>
      <c r="C15" s="174">
        <v>331</v>
      </c>
      <c r="F15" s="161" t="s">
        <v>298</v>
      </c>
      <c r="G15" s="216">
        <f>SUM(C37)</f>
        <v>443</v>
      </c>
    </row>
    <row r="16" spans="1:9" ht="14.45" x14ac:dyDescent="0.3">
      <c r="A16" s="197">
        <v>40918</v>
      </c>
      <c r="B16" s="196" t="s">
        <v>342</v>
      </c>
      <c r="C16" s="198">
        <v>4660</v>
      </c>
      <c r="F16" s="99" t="s">
        <v>299</v>
      </c>
      <c r="G16" s="181"/>
    </row>
    <row r="17" spans="1:7" ht="14.45" x14ac:dyDescent="0.3">
      <c r="A17" s="152">
        <v>40923</v>
      </c>
      <c r="B17" s="150" t="s">
        <v>227</v>
      </c>
      <c r="C17" s="153">
        <v>535</v>
      </c>
      <c r="F17" s="220" t="s">
        <v>300</v>
      </c>
      <c r="G17" s="221">
        <f>SUM(C14,C17,C22,C28,C33,C39,C41,C42,C50)</f>
        <v>3562.9799999999996</v>
      </c>
    </row>
    <row r="18" spans="1:7" ht="13.9" x14ac:dyDescent="0.3">
      <c r="A18" s="173">
        <v>40924</v>
      </c>
      <c r="B18" s="172" t="s">
        <v>339</v>
      </c>
      <c r="C18" s="174">
        <v>331</v>
      </c>
      <c r="F18" s="3" t="s">
        <v>356</v>
      </c>
      <c r="G18" s="224">
        <f>C55</f>
        <v>1930</v>
      </c>
    </row>
    <row r="19" spans="1:7" ht="13.9" x14ac:dyDescent="0.3">
      <c r="A19" s="212">
        <v>40925</v>
      </c>
      <c r="B19" s="213" t="s">
        <v>343</v>
      </c>
      <c r="C19" s="214">
        <v>115</v>
      </c>
      <c r="F19" s="218" t="s">
        <v>302</v>
      </c>
      <c r="G19" s="222">
        <f>SUM(C25,C11,C12,C29,C44,C46)</f>
        <v>306.32</v>
      </c>
    </row>
    <row r="20" spans="1:7" ht="27.6" x14ac:dyDescent="0.3">
      <c r="A20" s="199">
        <v>40927</v>
      </c>
      <c r="B20" s="200" t="s">
        <v>228</v>
      </c>
      <c r="C20" s="201">
        <v>200.37</v>
      </c>
      <c r="F20" s="172" t="s">
        <v>303</v>
      </c>
      <c r="G20" s="223">
        <f>SUM(C13,C15,C18,C21,C23,C27,C30,C31,C32,C36,C40,C45,C48,C52,C54)</f>
        <v>4344</v>
      </c>
    </row>
    <row r="21" spans="1:7" ht="13.9" x14ac:dyDescent="0.3">
      <c r="A21" s="173">
        <v>40931</v>
      </c>
      <c r="B21" s="172" t="s">
        <v>339</v>
      </c>
      <c r="C21" s="174">
        <v>331</v>
      </c>
      <c r="G21" s="181"/>
    </row>
    <row r="22" spans="1:7" ht="13.9" x14ac:dyDescent="0.3">
      <c r="A22" s="152">
        <v>40937</v>
      </c>
      <c r="B22" s="150" t="s">
        <v>314</v>
      </c>
      <c r="C22" s="153">
        <v>129</v>
      </c>
      <c r="F22" s="3" t="s">
        <v>305</v>
      </c>
      <c r="G22" s="181">
        <f>SUM(G10:G20)</f>
        <v>18381.769999999997</v>
      </c>
    </row>
    <row r="23" spans="1:7" ht="13.9" x14ac:dyDescent="0.3">
      <c r="A23" s="173">
        <v>40938</v>
      </c>
      <c r="B23" s="172" t="s">
        <v>339</v>
      </c>
      <c r="C23" s="174">
        <v>331</v>
      </c>
      <c r="G23" s="181"/>
    </row>
    <row r="24" spans="1:7" ht="13.9" x14ac:dyDescent="0.3">
      <c r="A24" s="205">
        <v>40940</v>
      </c>
      <c r="B24" s="206" t="s">
        <v>336</v>
      </c>
      <c r="C24" s="207">
        <v>10</v>
      </c>
      <c r="G24" s="181"/>
    </row>
    <row r="25" spans="1:7" ht="27.6" x14ac:dyDescent="0.3">
      <c r="A25" s="217">
        <v>40940</v>
      </c>
      <c r="B25" s="218" t="s">
        <v>337</v>
      </c>
      <c r="C25" s="219">
        <v>64.709999999999994</v>
      </c>
      <c r="F25" s="3" t="s">
        <v>309</v>
      </c>
      <c r="G25" s="181">
        <f>'Business Income'!M10</f>
        <v>812.7786666666666</v>
      </c>
    </row>
    <row r="26" spans="1:7" ht="27.6" x14ac:dyDescent="0.3">
      <c r="A26" s="197">
        <v>40941</v>
      </c>
      <c r="B26" s="196" t="s">
        <v>315</v>
      </c>
      <c r="C26" s="198">
        <v>383.1</v>
      </c>
      <c r="F26" s="3" t="s">
        <v>306</v>
      </c>
      <c r="G26" s="181">
        <f>'Business Income'!M42+'Business Income'!M44</f>
        <v>0</v>
      </c>
    </row>
    <row r="27" spans="1:7" ht="25.5" x14ac:dyDescent="0.2">
      <c r="A27" s="173">
        <v>40941</v>
      </c>
      <c r="B27" s="172" t="s">
        <v>340</v>
      </c>
      <c r="C27" s="174">
        <v>20</v>
      </c>
      <c r="F27" s="3" t="s">
        <v>307</v>
      </c>
      <c r="G27" s="181">
        <f>'Business Income'!M41+'Business Income'!M43+'Business Income'!M45+'Business Income'!M46+'Business Income'!M47</f>
        <v>1472.04</v>
      </c>
    </row>
    <row r="28" spans="1:7" x14ac:dyDescent="0.2">
      <c r="A28" s="152">
        <v>40941</v>
      </c>
      <c r="B28" s="150" t="s">
        <v>341</v>
      </c>
      <c r="C28" s="153">
        <v>305</v>
      </c>
    </row>
    <row r="29" spans="1:7" x14ac:dyDescent="0.2">
      <c r="A29" s="217">
        <v>40945</v>
      </c>
      <c r="B29" s="218" t="s">
        <v>182</v>
      </c>
      <c r="C29" s="219">
        <v>54</v>
      </c>
    </row>
    <row r="30" spans="1:7" x14ac:dyDescent="0.2">
      <c r="A30" s="173">
        <v>40945</v>
      </c>
      <c r="B30" s="172" t="s">
        <v>339</v>
      </c>
      <c r="C30" s="174">
        <v>331</v>
      </c>
    </row>
    <row r="31" spans="1:7" x14ac:dyDescent="0.2">
      <c r="A31" s="173">
        <v>40948</v>
      </c>
      <c r="B31" s="172" t="s">
        <v>344</v>
      </c>
      <c r="C31" s="174">
        <v>21</v>
      </c>
    </row>
    <row r="32" spans="1:7" x14ac:dyDescent="0.2">
      <c r="A32" s="173">
        <v>40952</v>
      </c>
      <c r="B32" s="172" t="s">
        <v>339</v>
      </c>
      <c r="C32" s="174">
        <v>331</v>
      </c>
    </row>
    <row r="33" spans="1:8" x14ac:dyDescent="0.2">
      <c r="A33" s="152">
        <v>40954</v>
      </c>
      <c r="B33" s="150" t="s">
        <v>227</v>
      </c>
      <c r="C33" s="153">
        <v>535</v>
      </c>
    </row>
    <row r="34" spans="1:8" x14ac:dyDescent="0.2">
      <c r="A34" s="212">
        <v>40955</v>
      </c>
      <c r="B34" s="213" t="s">
        <v>343</v>
      </c>
      <c r="C34" s="214">
        <v>115</v>
      </c>
    </row>
    <row r="35" spans="1:8" x14ac:dyDescent="0.2">
      <c r="A35" s="199">
        <v>40956</v>
      </c>
      <c r="B35" s="200" t="s">
        <v>228</v>
      </c>
      <c r="C35" s="201">
        <v>200.37</v>
      </c>
    </row>
    <row r="36" spans="1:8" x14ac:dyDescent="0.2">
      <c r="A36" s="173">
        <v>40959</v>
      </c>
      <c r="B36" s="172" t="s">
        <v>339</v>
      </c>
      <c r="C36" s="174">
        <v>331</v>
      </c>
    </row>
    <row r="37" spans="1:8" x14ac:dyDescent="0.2">
      <c r="A37" s="162">
        <v>40961</v>
      </c>
      <c r="B37" s="151" t="s">
        <v>345</v>
      </c>
      <c r="C37" s="163">
        <v>443</v>
      </c>
    </row>
    <row r="38" spans="1:8" x14ac:dyDescent="0.2">
      <c r="A38" s="212">
        <v>40962</v>
      </c>
      <c r="B38" s="213" t="s">
        <v>346</v>
      </c>
      <c r="C38" s="214">
        <v>223</v>
      </c>
      <c r="F38" s="5">
        <v>40912</v>
      </c>
      <c r="G38" s="3" t="s">
        <v>338</v>
      </c>
      <c r="H38" s="4">
        <v>5000</v>
      </c>
    </row>
    <row r="39" spans="1:8" x14ac:dyDescent="0.2">
      <c r="A39" s="152">
        <v>40965</v>
      </c>
      <c r="B39" s="150" t="s">
        <v>347</v>
      </c>
      <c r="C39" s="153">
        <v>1000</v>
      </c>
      <c r="F39" s="5">
        <v>40941</v>
      </c>
      <c r="G39" s="3" t="s">
        <v>338</v>
      </c>
      <c r="H39" s="4">
        <v>5000</v>
      </c>
    </row>
    <row r="40" spans="1:8" x14ac:dyDescent="0.2">
      <c r="A40" s="173">
        <v>40966</v>
      </c>
      <c r="B40" s="172" t="s">
        <v>339</v>
      </c>
      <c r="C40" s="174">
        <v>331</v>
      </c>
      <c r="F40" s="5">
        <v>40949</v>
      </c>
      <c r="G40" s="3" t="s">
        <v>338</v>
      </c>
      <c r="H40" s="4">
        <v>8000</v>
      </c>
    </row>
    <row r="41" spans="1:8" x14ac:dyDescent="0.2">
      <c r="A41" s="152">
        <v>40967</v>
      </c>
      <c r="B41" s="150" t="s">
        <v>348</v>
      </c>
      <c r="C41" s="153">
        <v>92.6</v>
      </c>
    </row>
    <row r="42" spans="1:8" x14ac:dyDescent="0.2">
      <c r="A42" s="152">
        <v>40968</v>
      </c>
      <c r="B42" s="150" t="s">
        <v>347</v>
      </c>
      <c r="C42" s="153">
        <v>77.14</v>
      </c>
    </row>
    <row r="43" spans="1:8" x14ac:dyDescent="0.2">
      <c r="A43" s="205">
        <v>40969</v>
      </c>
      <c r="B43" s="206" t="s">
        <v>336</v>
      </c>
      <c r="C43" s="207">
        <v>10</v>
      </c>
    </row>
    <row r="44" spans="1:8" x14ac:dyDescent="0.2">
      <c r="A44" s="217">
        <v>40969</v>
      </c>
      <c r="B44" s="218" t="s">
        <v>337</v>
      </c>
      <c r="C44" s="219">
        <v>18.489999999999998</v>
      </c>
    </row>
    <row r="45" spans="1:8" x14ac:dyDescent="0.2">
      <c r="A45" s="173">
        <v>40973</v>
      </c>
      <c r="B45" s="172" t="s">
        <v>339</v>
      </c>
      <c r="C45" s="174">
        <v>331</v>
      </c>
    </row>
    <row r="46" spans="1:8" x14ac:dyDescent="0.2">
      <c r="A46" s="217">
        <v>40974</v>
      </c>
      <c r="B46" s="218" t="s">
        <v>182</v>
      </c>
      <c r="C46" s="219">
        <v>54</v>
      </c>
    </row>
    <row r="47" spans="1:8" x14ac:dyDescent="0.2">
      <c r="A47" s="197">
        <v>40978</v>
      </c>
      <c r="B47" s="196" t="s">
        <v>349</v>
      </c>
      <c r="C47" s="198">
        <v>33.9</v>
      </c>
    </row>
    <row r="48" spans="1:8" x14ac:dyDescent="0.2">
      <c r="A48" s="173">
        <v>40981</v>
      </c>
      <c r="B48" s="172" t="s">
        <v>339</v>
      </c>
      <c r="C48" s="174">
        <v>331</v>
      </c>
    </row>
    <row r="49" spans="1:3" ht="25.5" x14ac:dyDescent="0.2">
      <c r="A49" s="197">
        <v>40982</v>
      </c>
      <c r="B49" s="196" t="s">
        <v>350</v>
      </c>
      <c r="C49" s="198">
        <v>809.36</v>
      </c>
    </row>
    <row r="50" spans="1:3" x14ac:dyDescent="0.2">
      <c r="A50" s="152">
        <v>40983</v>
      </c>
      <c r="B50" s="150" t="s">
        <v>227</v>
      </c>
      <c r="C50" s="153">
        <v>535</v>
      </c>
    </row>
    <row r="51" spans="1:3" x14ac:dyDescent="0.2">
      <c r="A51" s="212">
        <v>40984</v>
      </c>
      <c r="B51" s="213" t="s">
        <v>343</v>
      </c>
      <c r="C51" s="214">
        <v>115</v>
      </c>
    </row>
    <row r="52" spans="1:3" x14ac:dyDescent="0.2">
      <c r="A52" s="173">
        <v>40987</v>
      </c>
      <c r="B52" s="172" t="s">
        <v>339</v>
      </c>
      <c r="C52" s="174">
        <v>331</v>
      </c>
    </row>
    <row r="53" spans="1:3" x14ac:dyDescent="0.2">
      <c r="A53" s="199">
        <v>40988</v>
      </c>
      <c r="B53" s="200" t="s">
        <v>228</v>
      </c>
      <c r="C53" s="201">
        <v>200.37</v>
      </c>
    </row>
    <row r="54" spans="1:3" x14ac:dyDescent="0.2">
      <c r="A54" s="173">
        <v>40994</v>
      </c>
      <c r="B54" s="172" t="s">
        <v>339</v>
      </c>
      <c r="C54" s="174">
        <v>331</v>
      </c>
    </row>
    <row r="55" spans="1:3" x14ac:dyDescent="0.2">
      <c r="A55" s="5">
        <v>40997</v>
      </c>
      <c r="B55" s="3" t="s">
        <v>351</v>
      </c>
      <c r="C55" s="4">
        <v>1930</v>
      </c>
    </row>
    <row r="56" spans="1:3" ht="25.5" x14ac:dyDescent="0.2">
      <c r="A56" s="197">
        <v>40999</v>
      </c>
      <c r="B56" s="196" t="s">
        <v>352</v>
      </c>
      <c r="C56" s="198">
        <v>665</v>
      </c>
    </row>
    <row r="57" spans="1:3" x14ac:dyDescent="0.2">
      <c r="A57" s="197">
        <v>40999</v>
      </c>
      <c r="B57" s="196" t="s">
        <v>182</v>
      </c>
      <c r="C57" s="198">
        <v>45</v>
      </c>
    </row>
    <row r="64" spans="1:3" x14ac:dyDescent="0.2">
      <c r="B64" s="3" t="s">
        <v>357</v>
      </c>
    </row>
  </sheetData>
  <sortState ref="A10:C70">
    <sortCondition ref="A10:A70"/>
  </sortState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opLeftCell="C55" workbookViewId="0">
      <selection activeCell="G8" sqref="G8"/>
    </sheetView>
  </sheetViews>
  <sheetFormatPr defaultRowHeight="12.75" x14ac:dyDescent="0.2"/>
  <cols>
    <col min="1" max="1" width="13.140625" style="14" customWidth="1"/>
    <col min="2" max="2" width="10.85546875" style="46" customWidth="1"/>
    <col min="3" max="3" width="20.28515625" style="46" customWidth="1"/>
    <col min="4" max="4" width="9.28515625" style="46" customWidth="1"/>
    <col min="5" max="5" width="10" style="46" customWidth="1"/>
    <col min="6" max="6" width="9.85546875" style="46" customWidth="1"/>
    <col min="7" max="7" width="10.28515625" style="46" customWidth="1"/>
    <col min="8" max="8" width="9.42578125" style="46" customWidth="1"/>
    <col min="9" max="9" width="8" style="46" customWidth="1"/>
    <col min="10" max="10" width="8.85546875" style="46"/>
    <col min="11" max="11" width="10.140625" style="6" bestFit="1" customWidth="1"/>
    <col min="12" max="12" width="18.140625" style="46" customWidth="1"/>
    <col min="13" max="256" width="8.85546875" style="46"/>
    <col min="257" max="257" width="9" style="46" customWidth="1"/>
    <col min="258" max="258" width="10.85546875" style="46" customWidth="1"/>
    <col min="259" max="259" width="20.28515625" style="46" customWidth="1"/>
    <col min="260" max="260" width="6.28515625" style="46" customWidth="1"/>
    <col min="261" max="261" width="10" style="46" customWidth="1"/>
    <col min="262" max="262" width="9.85546875" style="46" customWidth="1"/>
    <col min="263" max="263" width="7.42578125" style="46" customWidth="1"/>
    <col min="264" max="264" width="9.42578125" style="46" customWidth="1"/>
    <col min="265" max="265" width="6.7109375" style="46" customWidth="1"/>
    <col min="266" max="512" width="8.85546875" style="46"/>
    <col min="513" max="513" width="9" style="46" customWidth="1"/>
    <col min="514" max="514" width="10.85546875" style="46" customWidth="1"/>
    <col min="515" max="515" width="20.28515625" style="46" customWidth="1"/>
    <col min="516" max="516" width="6.28515625" style="46" customWidth="1"/>
    <col min="517" max="517" width="10" style="46" customWidth="1"/>
    <col min="518" max="518" width="9.85546875" style="46" customWidth="1"/>
    <col min="519" max="519" width="7.42578125" style="46" customWidth="1"/>
    <col min="520" max="520" width="9.42578125" style="46" customWidth="1"/>
    <col min="521" max="521" width="6.7109375" style="46" customWidth="1"/>
    <col min="522" max="768" width="8.85546875" style="46"/>
    <col min="769" max="769" width="9" style="46" customWidth="1"/>
    <col min="770" max="770" width="10.85546875" style="46" customWidth="1"/>
    <col min="771" max="771" width="20.28515625" style="46" customWidth="1"/>
    <col min="772" max="772" width="6.28515625" style="46" customWidth="1"/>
    <col min="773" max="773" width="10" style="46" customWidth="1"/>
    <col min="774" max="774" width="9.85546875" style="46" customWidth="1"/>
    <col min="775" max="775" width="7.42578125" style="46" customWidth="1"/>
    <col min="776" max="776" width="9.42578125" style="46" customWidth="1"/>
    <col min="777" max="777" width="6.7109375" style="46" customWidth="1"/>
    <col min="778" max="1024" width="8.85546875" style="46"/>
    <col min="1025" max="1025" width="9" style="46" customWidth="1"/>
    <col min="1026" max="1026" width="10.85546875" style="46" customWidth="1"/>
    <col min="1027" max="1027" width="20.28515625" style="46" customWidth="1"/>
    <col min="1028" max="1028" width="6.28515625" style="46" customWidth="1"/>
    <col min="1029" max="1029" width="10" style="46" customWidth="1"/>
    <col min="1030" max="1030" width="9.85546875" style="46" customWidth="1"/>
    <col min="1031" max="1031" width="7.42578125" style="46" customWidth="1"/>
    <col min="1032" max="1032" width="9.42578125" style="46" customWidth="1"/>
    <col min="1033" max="1033" width="6.7109375" style="46" customWidth="1"/>
    <col min="1034" max="1280" width="8.85546875" style="46"/>
    <col min="1281" max="1281" width="9" style="46" customWidth="1"/>
    <col min="1282" max="1282" width="10.85546875" style="46" customWidth="1"/>
    <col min="1283" max="1283" width="20.28515625" style="46" customWidth="1"/>
    <col min="1284" max="1284" width="6.28515625" style="46" customWidth="1"/>
    <col min="1285" max="1285" width="10" style="46" customWidth="1"/>
    <col min="1286" max="1286" width="9.85546875" style="46" customWidth="1"/>
    <col min="1287" max="1287" width="7.42578125" style="46" customWidth="1"/>
    <col min="1288" max="1288" width="9.42578125" style="46" customWidth="1"/>
    <col min="1289" max="1289" width="6.7109375" style="46" customWidth="1"/>
    <col min="1290" max="1536" width="8.85546875" style="46"/>
    <col min="1537" max="1537" width="9" style="46" customWidth="1"/>
    <col min="1538" max="1538" width="10.85546875" style="46" customWidth="1"/>
    <col min="1539" max="1539" width="20.28515625" style="46" customWidth="1"/>
    <col min="1540" max="1540" width="6.28515625" style="46" customWidth="1"/>
    <col min="1541" max="1541" width="10" style="46" customWidth="1"/>
    <col min="1542" max="1542" width="9.85546875" style="46" customWidth="1"/>
    <col min="1543" max="1543" width="7.42578125" style="46" customWidth="1"/>
    <col min="1544" max="1544" width="9.42578125" style="46" customWidth="1"/>
    <col min="1545" max="1545" width="6.7109375" style="46" customWidth="1"/>
    <col min="1546" max="1792" width="8.85546875" style="46"/>
    <col min="1793" max="1793" width="9" style="46" customWidth="1"/>
    <col min="1794" max="1794" width="10.85546875" style="46" customWidth="1"/>
    <col min="1795" max="1795" width="20.28515625" style="46" customWidth="1"/>
    <col min="1796" max="1796" width="6.28515625" style="46" customWidth="1"/>
    <col min="1797" max="1797" width="10" style="46" customWidth="1"/>
    <col min="1798" max="1798" width="9.85546875" style="46" customWidth="1"/>
    <col min="1799" max="1799" width="7.42578125" style="46" customWidth="1"/>
    <col min="1800" max="1800" width="9.42578125" style="46" customWidth="1"/>
    <col min="1801" max="1801" width="6.7109375" style="46" customWidth="1"/>
    <col min="1802" max="2048" width="8.85546875" style="46"/>
    <col min="2049" max="2049" width="9" style="46" customWidth="1"/>
    <col min="2050" max="2050" width="10.85546875" style="46" customWidth="1"/>
    <col min="2051" max="2051" width="20.28515625" style="46" customWidth="1"/>
    <col min="2052" max="2052" width="6.28515625" style="46" customWidth="1"/>
    <col min="2053" max="2053" width="10" style="46" customWidth="1"/>
    <col min="2054" max="2054" width="9.85546875" style="46" customWidth="1"/>
    <col min="2055" max="2055" width="7.42578125" style="46" customWidth="1"/>
    <col min="2056" max="2056" width="9.42578125" style="46" customWidth="1"/>
    <col min="2057" max="2057" width="6.7109375" style="46" customWidth="1"/>
    <col min="2058" max="2304" width="8.85546875" style="46"/>
    <col min="2305" max="2305" width="9" style="46" customWidth="1"/>
    <col min="2306" max="2306" width="10.85546875" style="46" customWidth="1"/>
    <col min="2307" max="2307" width="20.28515625" style="46" customWidth="1"/>
    <col min="2308" max="2308" width="6.28515625" style="46" customWidth="1"/>
    <col min="2309" max="2309" width="10" style="46" customWidth="1"/>
    <col min="2310" max="2310" width="9.85546875" style="46" customWidth="1"/>
    <col min="2311" max="2311" width="7.42578125" style="46" customWidth="1"/>
    <col min="2312" max="2312" width="9.42578125" style="46" customWidth="1"/>
    <col min="2313" max="2313" width="6.7109375" style="46" customWidth="1"/>
    <col min="2314" max="2560" width="8.85546875" style="46"/>
    <col min="2561" max="2561" width="9" style="46" customWidth="1"/>
    <col min="2562" max="2562" width="10.85546875" style="46" customWidth="1"/>
    <col min="2563" max="2563" width="20.28515625" style="46" customWidth="1"/>
    <col min="2564" max="2564" width="6.28515625" style="46" customWidth="1"/>
    <col min="2565" max="2565" width="10" style="46" customWidth="1"/>
    <col min="2566" max="2566" width="9.85546875" style="46" customWidth="1"/>
    <col min="2567" max="2567" width="7.42578125" style="46" customWidth="1"/>
    <col min="2568" max="2568" width="9.42578125" style="46" customWidth="1"/>
    <col min="2569" max="2569" width="6.7109375" style="46" customWidth="1"/>
    <col min="2570" max="2816" width="8.85546875" style="46"/>
    <col min="2817" max="2817" width="9" style="46" customWidth="1"/>
    <col min="2818" max="2818" width="10.85546875" style="46" customWidth="1"/>
    <col min="2819" max="2819" width="20.28515625" style="46" customWidth="1"/>
    <col min="2820" max="2820" width="6.28515625" style="46" customWidth="1"/>
    <col min="2821" max="2821" width="10" style="46" customWidth="1"/>
    <col min="2822" max="2822" width="9.85546875" style="46" customWidth="1"/>
    <col min="2823" max="2823" width="7.42578125" style="46" customWidth="1"/>
    <col min="2824" max="2824" width="9.42578125" style="46" customWidth="1"/>
    <col min="2825" max="2825" width="6.7109375" style="46" customWidth="1"/>
    <col min="2826" max="3072" width="8.85546875" style="46"/>
    <col min="3073" max="3073" width="9" style="46" customWidth="1"/>
    <col min="3074" max="3074" width="10.85546875" style="46" customWidth="1"/>
    <col min="3075" max="3075" width="20.28515625" style="46" customWidth="1"/>
    <col min="3076" max="3076" width="6.28515625" style="46" customWidth="1"/>
    <col min="3077" max="3077" width="10" style="46" customWidth="1"/>
    <col min="3078" max="3078" width="9.85546875" style="46" customWidth="1"/>
    <col min="3079" max="3079" width="7.42578125" style="46" customWidth="1"/>
    <col min="3080" max="3080" width="9.42578125" style="46" customWidth="1"/>
    <col min="3081" max="3081" width="6.7109375" style="46" customWidth="1"/>
    <col min="3082" max="3328" width="8.85546875" style="46"/>
    <col min="3329" max="3329" width="9" style="46" customWidth="1"/>
    <col min="3330" max="3330" width="10.85546875" style="46" customWidth="1"/>
    <col min="3331" max="3331" width="20.28515625" style="46" customWidth="1"/>
    <col min="3332" max="3332" width="6.28515625" style="46" customWidth="1"/>
    <col min="3333" max="3333" width="10" style="46" customWidth="1"/>
    <col min="3334" max="3334" width="9.85546875" style="46" customWidth="1"/>
    <col min="3335" max="3335" width="7.42578125" style="46" customWidth="1"/>
    <col min="3336" max="3336" width="9.42578125" style="46" customWidth="1"/>
    <col min="3337" max="3337" width="6.7109375" style="46" customWidth="1"/>
    <col min="3338" max="3584" width="8.85546875" style="46"/>
    <col min="3585" max="3585" width="9" style="46" customWidth="1"/>
    <col min="3586" max="3586" width="10.85546875" style="46" customWidth="1"/>
    <col min="3587" max="3587" width="20.28515625" style="46" customWidth="1"/>
    <col min="3588" max="3588" width="6.28515625" style="46" customWidth="1"/>
    <col min="3589" max="3589" width="10" style="46" customWidth="1"/>
    <col min="3590" max="3590" width="9.85546875" style="46" customWidth="1"/>
    <col min="3591" max="3591" width="7.42578125" style="46" customWidth="1"/>
    <col min="3592" max="3592" width="9.42578125" style="46" customWidth="1"/>
    <col min="3593" max="3593" width="6.7109375" style="46" customWidth="1"/>
    <col min="3594" max="3840" width="8.85546875" style="46"/>
    <col min="3841" max="3841" width="9" style="46" customWidth="1"/>
    <col min="3842" max="3842" width="10.85546875" style="46" customWidth="1"/>
    <col min="3843" max="3843" width="20.28515625" style="46" customWidth="1"/>
    <col min="3844" max="3844" width="6.28515625" style="46" customWidth="1"/>
    <col min="3845" max="3845" width="10" style="46" customWidth="1"/>
    <col min="3846" max="3846" width="9.85546875" style="46" customWidth="1"/>
    <col min="3847" max="3847" width="7.42578125" style="46" customWidth="1"/>
    <col min="3848" max="3848" width="9.42578125" style="46" customWidth="1"/>
    <col min="3849" max="3849" width="6.7109375" style="46" customWidth="1"/>
    <col min="3850" max="4096" width="8.85546875" style="46"/>
    <col min="4097" max="4097" width="9" style="46" customWidth="1"/>
    <col min="4098" max="4098" width="10.85546875" style="46" customWidth="1"/>
    <col min="4099" max="4099" width="20.28515625" style="46" customWidth="1"/>
    <col min="4100" max="4100" width="6.28515625" style="46" customWidth="1"/>
    <col min="4101" max="4101" width="10" style="46" customWidth="1"/>
    <col min="4102" max="4102" width="9.85546875" style="46" customWidth="1"/>
    <col min="4103" max="4103" width="7.42578125" style="46" customWidth="1"/>
    <col min="4104" max="4104" width="9.42578125" style="46" customWidth="1"/>
    <col min="4105" max="4105" width="6.7109375" style="46" customWidth="1"/>
    <col min="4106" max="4352" width="8.85546875" style="46"/>
    <col min="4353" max="4353" width="9" style="46" customWidth="1"/>
    <col min="4354" max="4354" width="10.85546875" style="46" customWidth="1"/>
    <col min="4355" max="4355" width="20.28515625" style="46" customWidth="1"/>
    <col min="4356" max="4356" width="6.28515625" style="46" customWidth="1"/>
    <col min="4357" max="4357" width="10" style="46" customWidth="1"/>
    <col min="4358" max="4358" width="9.85546875" style="46" customWidth="1"/>
    <col min="4359" max="4359" width="7.42578125" style="46" customWidth="1"/>
    <col min="4360" max="4360" width="9.42578125" style="46" customWidth="1"/>
    <col min="4361" max="4361" width="6.7109375" style="46" customWidth="1"/>
    <col min="4362" max="4608" width="8.85546875" style="46"/>
    <col min="4609" max="4609" width="9" style="46" customWidth="1"/>
    <col min="4610" max="4610" width="10.85546875" style="46" customWidth="1"/>
    <col min="4611" max="4611" width="20.28515625" style="46" customWidth="1"/>
    <col min="4612" max="4612" width="6.28515625" style="46" customWidth="1"/>
    <col min="4613" max="4613" width="10" style="46" customWidth="1"/>
    <col min="4614" max="4614" width="9.85546875" style="46" customWidth="1"/>
    <col min="4615" max="4615" width="7.42578125" style="46" customWidth="1"/>
    <col min="4616" max="4616" width="9.42578125" style="46" customWidth="1"/>
    <col min="4617" max="4617" width="6.7109375" style="46" customWidth="1"/>
    <col min="4618" max="4864" width="8.85546875" style="46"/>
    <col min="4865" max="4865" width="9" style="46" customWidth="1"/>
    <col min="4866" max="4866" width="10.85546875" style="46" customWidth="1"/>
    <col min="4867" max="4867" width="20.28515625" style="46" customWidth="1"/>
    <col min="4868" max="4868" width="6.28515625" style="46" customWidth="1"/>
    <col min="4869" max="4869" width="10" style="46" customWidth="1"/>
    <col min="4870" max="4870" width="9.85546875" style="46" customWidth="1"/>
    <col min="4871" max="4871" width="7.42578125" style="46" customWidth="1"/>
    <col min="4872" max="4872" width="9.42578125" style="46" customWidth="1"/>
    <col min="4873" max="4873" width="6.7109375" style="46" customWidth="1"/>
    <col min="4874" max="5120" width="8.85546875" style="46"/>
    <col min="5121" max="5121" width="9" style="46" customWidth="1"/>
    <col min="5122" max="5122" width="10.85546875" style="46" customWidth="1"/>
    <col min="5123" max="5123" width="20.28515625" style="46" customWidth="1"/>
    <col min="5124" max="5124" width="6.28515625" style="46" customWidth="1"/>
    <col min="5125" max="5125" width="10" style="46" customWidth="1"/>
    <col min="5126" max="5126" width="9.85546875" style="46" customWidth="1"/>
    <col min="5127" max="5127" width="7.42578125" style="46" customWidth="1"/>
    <col min="5128" max="5128" width="9.42578125" style="46" customWidth="1"/>
    <col min="5129" max="5129" width="6.7109375" style="46" customWidth="1"/>
    <col min="5130" max="5376" width="8.85546875" style="46"/>
    <col min="5377" max="5377" width="9" style="46" customWidth="1"/>
    <col min="5378" max="5378" width="10.85546875" style="46" customWidth="1"/>
    <col min="5379" max="5379" width="20.28515625" style="46" customWidth="1"/>
    <col min="5380" max="5380" width="6.28515625" style="46" customWidth="1"/>
    <col min="5381" max="5381" width="10" style="46" customWidth="1"/>
    <col min="5382" max="5382" width="9.85546875" style="46" customWidth="1"/>
    <col min="5383" max="5383" width="7.42578125" style="46" customWidth="1"/>
    <col min="5384" max="5384" width="9.42578125" style="46" customWidth="1"/>
    <col min="5385" max="5385" width="6.7109375" style="46" customWidth="1"/>
    <col min="5386" max="5632" width="8.85546875" style="46"/>
    <col min="5633" max="5633" width="9" style="46" customWidth="1"/>
    <col min="5634" max="5634" width="10.85546875" style="46" customWidth="1"/>
    <col min="5635" max="5635" width="20.28515625" style="46" customWidth="1"/>
    <col min="5636" max="5636" width="6.28515625" style="46" customWidth="1"/>
    <col min="5637" max="5637" width="10" style="46" customWidth="1"/>
    <col min="5638" max="5638" width="9.85546875" style="46" customWidth="1"/>
    <col min="5639" max="5639" width="7.42578125" style="46" customWidth="1"/>
    <col min="5640" max="5640" width="9.42578125" style="46" customWidth="1"/>
    <col min="5641" max="5641" width="6.7109375" style="46" customWidth="1"/>
    <col min="5642" max="5888" width="8.85546875" style="46"/>
    <col min="5889" max="5889" width="9" style="46" customWidth="1"/>
    <col min="5890" max="5890" width="10.85546875" style="46" customWidth="1"/>
    <col min="5891" max="5891" width="20.28515625" style="46" customWidth="1"/>
    <col min="5892" max="5892" width="6.28515625" style="46" customWidth="1"/>
    <col min="5893" max="5893" width="10" style="46" customWidth="1"/>
    <col min="5894" max="5894" width="9.85546875" style="46" customWidth="1"/>
    <col min="5895" max="5895" width="7.42578125" style="46" customWidth="1"/>
    <col min="5896" max="5896" width="9.42578125" style="46" customWidth="1"/>
    <col min="5897" max="5897" width="6.7109375" style="46" customWidth="1"/>
    <col min="5898" max="6144" width="8.85546875" style="46"/>
    <col min="6145" max="6145" width="9" style="46" customWidth="1"/>
    <col min="6146" max="6146" width="10.85546875" style="46" customWidth="1"/>
    <col min="6147" max="6147" width="20.28515625" style="46" customWidth="1"/>
    <col min="6148" max="6148" width="6.28515625" style="46" customWidth="1"/>
    <col min="6149" max="6149" width="10" style="46" customWidth="1"/>
    <col min="6150" max="6150" width="9.85546875" style="46" customWidth="1"/>
    <col min="6151" max="6151" width="7.42578125" style="46" customWidth="1"/>
    <col min="6152" max="6152" width="9.42578125" style="46" customWidth="1"/>
    <col min="6153" max="6153" width="6.7109375" style="46" customWidth="1"/>
    <col min="6154" max="6400" width="8.85546875" style="46"/>
    <col min="6401" max="6401" width="9" style="46" customWidth="1"/>
    <col min="6402" max="6402" width="10.85546875" style="46" customWidth="1"/>
    <col min="6403" max="6403" width="20.28515625" style="46" customWidth="1"/>
    <col min="6404" max="6404" width="6.28515625" style="46" customWidth="1"/>
    <col min="6405" max="6405" width="10" style="46" customWidth="1"/>
    <col min="6406" max="6406" width="9.85546875" style="46" customWidth="1"/>
    <col min="6407" max="6407" width="7.42578125" style="46" customWidth="1"/>
    <col min="6408" max="6408" width="9.42578125" style="46" customWidth="1"/>
    <col min="6409" max="6409" width="6.7109375" style="46" customWidth="1"/>
    <col min="6410" max="6656" width="8.85546875" style="46"/>
    <col min="6657" max="6657" width="9" style="46" customWidth="1"/>
    <col min="6658" max="6658" width="10.85546875" style="46" customWidth="1"/>
    <col min="6659" max="6659" width="20.28515625" style="46" customWidth="1"/>
    <col min="6660" max="6660" width="6.28515625" style="46" customWidth="1"/>
    <col min="6661" max="6661" width="10" style="46" customWidth="1"/>
    <col min="6662" max="6662" width="9.85546875" style="46" customWidth="1"/>
    <col min="6663" max="6663" width="7.42578125" style="46" customWidth="1"/>
    <col min="6664" max="6664" width="9.42578125" style="46" customWidth="1"/>
    <col min="6665" max="6665" width="6.7109375" style="46" customWidth="1"/>
    <col min="6666" max="6912" width="8.85546875" style="46"/>
    <col min="6913" max="6913" width="9" style="46" customWidth="1"/>
    <col min="6914" max="6914" width="10.85546875" style="46" customWidth="1"/>
    <col min="6915" max="6915" width="20.28515625" style="46" customWidth="1"/>
    <col min="6916" max="6916" width="6.28515625" style="46" customWidth="1"/>
    <col min="6917" max="6917" width="10" style="46" customWidth="1"/>
    <col min="6918" max="6918" width="9.85546875" style="46" customWidth="1"/>
    <col min="6919" max="6919" width="7.42578125" style="46" customWidth="1"/>
    <col min="6920" max="6920" width="9.42578125" style="46" customWidth="1"/>
    <col min="6921" max="6921" width="6.7109375" style="46" customWidth="1"/>
    <col min="6922" max="7168" width="8.85546875" style="46"/>
    <col min="7169" max="7169" width="9" style="46" customWidth="1"/>
    <col min="7170" max="7170" width="10.85546875" style="46" customWidth="1"/>
    <col min="7171" max="7171" width="20.28515625" style="46" customWidth="1"/>
    <col min="7172" max="7172" width="6.28515625" style="46" customWidth="1"/>
    <col min="7173" max="7173" width="10" style="46" customWidth="1"/>
    <col min="7174" max="7174" width="9.85546875" style="46" customWidth="1"/>
    <col min="7175" max="7175" width="7.42578125" style="46" customWidth="1"/>
    <col min="7176" max="7176" width="9.42578125" style="46" customWidth="1"/>
    <col min="7177" max="7177" width="6.7109375" style="46" customWidth="1"/>
    <col min="7178" max="7424" width="8.85546875" style="46"/>
    <col min="7425" max="7425" width="9" style="46" customWidth="1"/>
    <col min="7426" max="7426" width="10.85546875" style="46" customWidth="1"/>
    <col min="7427" max="7427" width="20.28515625" style="46" customWidth="1"/>
    <col min="7428" max="7428" width="6.28515625" style="46" customWidth="1"/>
    <col min="7429" max="7429" width="10" style="46" customWidth="1"/>
    <col min="7430" max="7430" width="9.85546875" style="46" customWidth="1"/>
    <col min="7431" max="7431" width="7.42578125" style="46" customWidth="1"/>
    <col min="7432" max="7432" width="9.42578125" style="46" customWidth="1"/>
    <col min="7433" max="7433" width="6.7109375" style="46" customWidth="1"/>
    <col min="7434" max="7680" width="8.85546875" style="46"/>
    <col min="7681" max="7681" width="9" style="46" customWidth="1"/>
    <col min="7682" max="7682" width="10.85546875" style="46" customWidth="1"/>
    <col min="7683" max="7683" width="20.28515625" style="46" customWidth="1"/>
    <col min="7684" max="7684" width="6.28515625" style="46" customWidth="1"/>
    <col min="7685" max="7685" width="10" style="46" customWidth="1"/>
    <col min="7686" max="7686" width="9.85546875" style="46" customWidth="1"/>
    <col min="7687" max="7687" width="7.42578125" style="46" customWidth="1"/>
    <col min="7688" max="7688" width="9.42578125" style="46" customWidth="1"/>
    <col min="7689" max="7689" width="6.7109375" style="46" customWidth="1"/>
    <col min="7690" max="7936" width="8.85546875" style="46"/>
    <col min="7937" max="7937" width="9" style="46" customWidth="1"/>
    <col min="7938" max="7938" width="10.85546875" style="46" customWidth="1"/>
    <col min="7939" max="7939" width="20.28515625" style="46" customWidth="1"/>
    <col min="7940" max="7940" width="6.28515625" style="46" customWidth="1"/>
    <col min="7941" max="7941" width="10" style="46" customWidth="1"/>
    <col min="7942" max="7942" width="9.85546875" style="46" customWidth="1"/>
    <col min="7943" max="7943" width="7.42578125" style="46" customWidth="1"/>
    <col min="7944" max="7944" width="9.42578125" style="46" customWidth="1"/>
    <col min="7945" max="7945" width="6.7109375" style="46" customWidth="1"/>
    <col min="7946" max="8192" width="8.85546875" style="46"/>
    <col min="8193" max="8193" width="9" style="46" customWidth="1"/>
    <col min="8194" max="8194" width="10.85546875" style="46" customWidth="1"/>
    <col min="8195" max="8195" width="20.28515625" style="46" customWidth="1"/>
    <col min="8196" max="8196" width="6.28515625" style="46" customWidth="1"/>
    <col min="8197" max="8197" width="10" style="46" customWidth="1"/>
    <col min="8198" max="8198" width="9.85546875" style="46" customWidth="1"/>
    <col min="8199" max="8199" width="7.42578125" style="46" customWidth="1"/>
    <col min="8200" max="8200" width="9.42578125" style="46" customWidth="1"/>
    <col min="8201" max="8201" width="6.7109375" style="46" customWidth="1"/>
    <col min="8202" max="8448" width="8.85546875" style="46"/>
    <col min="8449" max="8449" width="9" style="46" customWidth="1"/>
    <col min="8450" max="8450" width="10.85546875" style="46" customWidth="1"/>
    <col min="8451" max="8451" width="20.28515625" style="46" customWidth="1"/>
    <col min="8452" max="8452" width="6.28515625" style="46" customWidth="1"/>
    <col min="8453" max="8453" width="10" style="46" customWidth="1"/>
    <col min="8454" max="8454" width="9.85546875" style="46" customWidth="1"/>
    <col min="8455" max="8455" width="7.42578125" style="46" customWidth="1"/>
    <col min="8456" max="8456" width="9.42578125" style="46" customWidth="1"/>
    <col min="8457" max="8457" width="6.7109375" style="46" customWidth="1"/>
    <col min="8458" max="8704" width="8.85546875" style="46"/>
    <col min="8705" max="8705" width="9" style="46" customWidth="1"/>
    <col min="8706" max="8706" width="10.85546875" style="46" customWidth="1"/>
    <col min="8707" max="8707" width="20.28515625" style="46" customWidth="1"/>
    <col min="8708" max="8708" width="6.28515625" style="46" customWidth="1"/>
    <col min="8709" max="8709" width="10" style="46" customWidth="1"/>
    <col min="8710" max="8710" width="9.85546875" style="46" customWidth="1"/>
    <col min="8711" max="8711" width="7.42578125" style="46" customWidth="1"/>
    <col min="8712" max="8712" width="9.42578125" style="46" customWidth="1"/>
    <col min="8713" max="8713" width="6.7109375" style="46" customWidth="1"/>
    <col min="8714" max="8960" width="8.85546875" style="46"/>
    <col min="8961" max="8961" width="9" style="46" customWidth="1"/>
    <col min="8962" max="8962" width="10.85546875" style="46" customWidth="1"/>
    <col min="8963" max="8963" width="20.28515625" style="46" customWidth="1"/>
    <col min="8964" max="8964" width="6.28515625" style="46" customWidth="1"/>
    <col min="8965" max="8965" width="10" style="46" customWidth="1"/>
    <col min="8966" max="8966" width="9.85546875" style="46" customWidth="1"/>
    <col min="8967" max="8967" width="7.42578125" style="46" customWidth="1"/>
    <col min="8968" max="8968" width="9.42578125" style="46" customWidth="1"/>
    <col min="8969" max="8969" width="6.7109375" style="46" customWidth="1"/>
    <col min="8970" max="9216" width="8.85546875" style="46"/>
    <col min="9217" max="9217" width="9" style="46" customWidth="1"/>
    <col min="9218" max="9218" width="10.85546875" style="46" customWidth="1"/>
    <col min="9219" max="9219" width="20.28515625" style="46" customWidth="1"/>
    <col min="9220" max="9220" width="6.28515625" style="46" customWidth="1"/>
    <col min="9221" max="9221" width="10" style="46" customWidth="1"/>
    <col min="9222" max="9222" width="9.85546875" style="46" customWidth="1"/>
    <col min="9223" max="9223" width="7.42578125" style="46" customWidth="1"/>
    <col min="9224" max="9224" width="9.42578125" style="46" customWidth="1"/>
    <col min="9225" max="9225" width="6.7109375" style="46" customWidth="1"/>
    <col min="9226" max="9472" width="8.85546875" style="46"/>
    <col min="9473" max="9473" width="9" style="46" customWidth="1"/>
    <col min="9474" max="9474" width="10.85546875" style="46" customWidth="1"/>
    <col min="9475" max="9475" width="20.28515625" style="46" customWidth="1"/>
    <col min="9476" max="9476" width="6.28515625" style="46" customWidth="1"/>
    <col min="9477" max="9477" width="10" style="46" customWidth="1"/>
    <col min="9478" max="9478" width="9.85546875" style="46" customWidth="1"/>
    <col min="9479" max="9479" width="7.42578125" style="46" customWidth="1"/>
    <col min="9480" max="9480" width="9.42578125" style="46" customWidth="1"/>
    <col min="9481" max="9481" width="6.7109375" style="46" customWidth="1"/>
    <col min="9482" max="9728" width="8.85546875" style="46"/>
    <col min="9729" max="9729" width="9" style="46" customWidth="1"/>
    <col min="9730" max="9730" width="10.85546875" style="46" customWidth="1"/>
    <col min="9731" max="9731" width="20.28515625" style="46" customWidth="1"/>
    <col min="9732" max="9732" width="6.28515625" style="46" customWidth="1"/>
    <col min="9733" max="9733" width="10" style="46" customWidth="1"/>
    <col min="9734" max="9734" width="9.85546875" style="46" customWidth="1"/>
    <col min="9735" max="9735" width="7.42578125" style="46" customWidth="1"/>
    <col min="9736" max="9736" width="9.42578125" style="46" customWidth="1"/>
    <col min="9737" max="9737" width="6.7109375" style="46" customWidth="1"/>
    <col min="9738" max="9984" width="8.85546875" style="46"/>
    <col min="9985" max="9985" width="9" style="46" customWidth="1"/>
    <col min="9986" max="9986" width="10.85546875" style="46" customWidth="1"/>
    <col min="9987" max="9987" width="20.28515625" style="46" customWidth="1"/>
    <col min="9988" max="9988" width="6.28515625" style="46" customWidth="1"/>
    <col min="9989" max="9989" width="10" style="46" customWidth="1"/>
    <col min="9990" max="9990" width="9.85546875" style="46" customWidth="1"/>
    <col min="9991" max="9991" width="7.42578125" style="46" customWidth="1"/>
    <col min="9992" max="9992" width="9.42578125" style="46" customWidth="1"/>
    <col min="9993" max="9993" width="6.7109375" style="46" customWidth="1"/>
    <col min="9994" max="10240" width="8.85546875" style="46"/>
    <col min="10241" max="10241" width="9" style="46" customWidth="1"/>
    <col min="10242" max="10242" width="10.85546875" style="46" customWidth="1"/>
    <col min="10243" max="10243" width="20.28515625" style="46" customWidth="1"/>
    <col min="10244" max="10244" width="6.28515625" style="46" customWidth="1"/>
    <col min="10245" max="10245" width="10" style="46" customWidth="1"/>
    <col min="10246" max="10246" width="9.85546875" style="46" customWidth="1"/>
    <col min="10247" max="10247" width="7.42578125" style="46" customWidth="1"/>
    <col min="10248" max="10248" width="9.42578125" style="46" customWidth="1"/>
    <col min="10249" max="10249" width="6.7109375" style="46" customWidth="1"/>
    <col min="10250" max="10496" width="8.85546875" style="46"/>
    <col min="10497" max="10497" width="9" style="46" customWidth="1"/>
    <col min="10498" max="10498" width="10.85546875" style="46" customWidth="1"/>
    <col min="10499" max="10499" width="20.28515625" style="46" customWidth="1"/>
    <col min="10500" max="10500" width="6.28515625" style="46" customWidth="1"/>
    <col min="10501" max="10501" width="10" style="46" customWidth="1"/>
    <col min="10502" max="10502" width="9.85546875" style="46" customWidth="1"/>
    <col min="10503" max="10503" width="7.42578125" style="46" customWidth="1"/>
    <col min="10504" max="10504" width="9.42578125" style="46" customWidth="1"/>
    <col min="10505" max="10505" width="6.7109375" style="46" customWidth="1"/>
    <col min="10506" max="10752" width="8.85546875" style="46"/>
    <col min="10753" max="10753" width="9" style="46" customWidth="1"/>
    <col min="10754" max="10754" width="10.85546875" style="46" customWidth="1"/>
    <col min="10755" max="10755" width="20.28515625" style="46" customWidth="1"/>
    <col min="10756" max="10756" width="6.28515625" style="46" customWidth="1"/>
    <col min="10757" max="10757" width="10" style="46" customWidth="1"/>
    <col min="10758" max="10758" width="9.85546875" style="46" customWidth="1"/>
    <col min="10759" max="10759" width="7.42578125" style="46" customWidth="1"/>
    <col min="10760" max="10760" width="9.42578125" style="46" customWidth="1"/>
    <col min="10761" max="10761" width="6.7109375" style="46" customWidth="1"/>
    <col min="10762" max="11008" width="8.85546875" style="46"/>
    <col min="11009" max="11009" width="9" style="46" customWidth="1"/>
    <col min="11010" max="11010" width="10.85546875" style="46" customWidth="1"/>
    <col min="11011" max="11011" width="20.28515625" style="46" customWidth="1"/>
    <col min="11012" max="11012" width="6.28515625" style="46" customWidth="1"/>
    <col min="11013" max="11013" width="10" style="46" customWidth="1"/>
    <col min="11014" max="11014" width="9.85546875" style="46" customWidth="1"/>
    <col min="11015" max="11015" width="7.42578125" style="46" customWidth="1"/>
    <col min="11016" max="11016" width="9.42578125" style="46" customWidth="1"/>
    <col min="11017" max="11017" width="6.7109375" style="46" customWidth="1"/>
    <col min="11018" max="11264" width="8.85546875" style="46"/>
    <col min="11265" max="11265" width="9" style="46" customWidth="1"/>
    <col min="11266" max="11266" width="10.85546875" style="46" customWidth="1"/>
    <col min="11267" max="11267" width="20.28515625" style="46" customWidth="1"/>
    <col min="11268" max="11268" width="6.28515625" style="46" customWidth="1"/>
    <col min="11269" max="11269" width="10" style="46" customWidth="1"/>
    <col min="11270" max="11270" width="9.85546875" style="46" customWidth="1"/>
    <col min="11271" max="11271" width="7.42578125" style="46" customWidth="1"/>
    <col min="11272" max="11272" width="9.42578125" style="46" customWidth="1"/>
    <col min="11273" max="11273" width="6.7109375" style="46" customWidth="1"/>
    <col min="11274" max="11520" width="8.85546875" style="46"/>
    <col min="11521" max="11521" width="9" style="46" customWidth="1"/>
    <col min="11522" max="11522" width="10.85546875" style="46" customWidth="1"/>
    <col min="11523" max="11523" width="20.28515625" style="46" customWidth="1"/>
    <col min="11524" max="11524" width="6.28515625" style="46" customWidth="1"/>
    <col min="11525" max="11525" width="10" style="46" customWidth="1"/>
    <col min="11526" max="11526" width="9.85546875" style="46" customWidth="1"/>
    <col min="11527" max="11527" width="7.42578125" style="46" customWidth="1"/>
    <col min="11528" max="11528" width="9.42578125" style="46" customWidth="1"/>
    <col min="11529" max="11529" width="6.7109375" style="46" customWidth="1"/>
    <col min="11530" max="11776" width="8.85546875" style="46"/>
    <col min="11777" max="11777" width="9" style="46" customWidth="1"/>
    <col min="11778" max="11778" width="10.85546875" style="46" customWidth="1"/>
    <col min="11779" max="11779" width="20.28515625" style="46" customWidth="1"/>
    <col min="11780" max="11780" width="6.28515625" style="46" customWidth="1"/>
    <col min="11781" max="11781" width="10" style="46" customWidth="1"/>
    <col min="11782" max="11782" width="9.85546875" style="46" customWidth="1"/>
    <col min="11783" max="11783" width="7.42578125" style="46" customWidth="1"/>
    <col min="11784" max="11784" width="9.42578125" style="46" customWidth="1"/>
    <col min="11785" max="11785" width="6.7109375" style="46" customWidth="1"/>
    <col min="11786" max="12032" width="8.85546875" style="46"/>
    <col min="12033" max="12033" width="9" style="46" customWidth="1"/>
    <col min="12034" max="12034" width="10.85546875" style="46" customWidth="1"/>
    <col min="12035" max="12035" width="20.28515625" style="46" customWidth="1"/>
    <col min="12036" max="12036" width="6.28515625" style="46" customWidth="1"/>
    <col min="12037" max="12037" width="10" style="46" customWidth="1"/>
    <col min="12038" max="12038" width="9.85546875" style="46" customWidth="1"/>
    <col min="12039" max="12039" width="7.42578125" style="46" customWidth="1"/>
    <col min="12040" max="12040" width="9.42578125" style="46" customWidth="1"/>
    <col min="12041" max="12041" width="6.7109375" style="46" customWidth="1"/>
    <col min="12042" max="12288" width="8.85546875" style="46"/>
    <col min="12289" max="12289" width="9" style="46" customWidth="1"/>
    <col min="12290" max="12290" width="10.85546875" style="46" customWidth="1"/>
    <col min="12291" max="12291" width="20.28515625" style="46" customWidth="1"/>
    <col min="12292" max="12292" width="6.28515625" style="46" customWidth="1"/>
    <col min="12293" max="12293" width="10" style="46" customWidth="1"/>
    <col min="12294" max="12294" width="9.85546875" style="46" customWidth="1"/>
    <col min="12295" max="12295" width="7.42578125" style="46" customWidth="1"/>
    <col min="12296" max="12296" width="9.42578125" style="46" customWidth="1"/>
    <col min="12297" max="12297" width="6.7109375" style="46" customWidth="1"/>
    <col min="12298" max="12544" width="8.85546875" style="46"/>
    <col min="12545" max="12545" width="9" style="46" customWidth="1"/>
    <col min="12546" max="12546" width="10.85546875" style="46" customWidth="1"/>
    <col min="12547" max="12547" width="20.28515625" style="46" customWidth="1"/>
    <col min="12548" max="12548" width="6.28515625" style="46" customWidth="1"/>
    <col min="12549" max="12549" width="10" style="46" customWidth="1"/>
    <col min="12550" max="12550" width="9.85546875" style="46" customWidth="1"/>
    <col min="12551" max="12551" width="7.42578125" style="46" customWidth="1"/>
    <col min="12552" max="12552" width="9.42578125" style="46" customWidth="1"/>
    <col min="12553" max="12553" width="6.7109375" style="46" customWidth="1"/>
    <col min="12554" max="12800" width="8.85546875" style="46"/>
    <col min="12801" max="12801" width="9" style="46" customWidth="1"/>
    <col min="12802" max="12802" width="10.85546875" style="46" customWidth="1"/>
    <col min="12803" max="12803" width="20.28515625" style="46" customWidth="1"/>
    <col min="12804" max="12804" width="6.28515625" style="46" customWidth="1"/>
    <col min="12805" max="12805" width="10" style="46" customWidth="1"/>
    <col min="12806" max="12806" width="9.85546875" style="46" customWidth="1"/>
    <col min="12807" max="12807" width="7.42578125" style="46" customWidth="1"/>
    <col min="12808" max="12808" width="9.42578125" style="46" customWidth="1"/>
    <col min="12809" max="12809" width="6.7109375" style="46" customWidth="1"/>
    <col min="12810" max="13056" width="8.85546875" style="46"/>
    <col min="13057" max="13057" width="9" style="46" customWidth="1"/>
    <col min="13058" max="13058" width="10.85546875" style="46" customWidth="1"/>
    <col min="13059" max="13059" width="20.28515625" style="46" customWidth="1"/>
    <col min="13060" max="13060" width="6.28515625" style="46" customWidth="1"/>
    <col min="13061" max="13061" width="10" style="46" customWidth="1"/>
    <col min="13062" max="13062" width="9.85546875" style="46" customWidth="1"/>
    <col min="13063" max="13063" width="7.42578125" style="46" customWidth="1"/>
    <col min="13064" max="13064" width="9.42578125" style="46" customWidth="1"/>
    <col min="13065" max="13065" width="6.7109375" style="46" customWidth="1"/>
    <col min="13066" max="13312" width="8.85546875" style="46"/>
    <col min="13313" max="13313" width="9" style="46" customWidth="1"/>
    <col min="13314" max="13314" width="10.85546875" style="46" customWidth="1"/>
    <col min="13315" max="13315" width="20.28515625" style="46" customWidth="1"/>
    <col min="13316" max="13316" width="6.28515625" style="46" customWidth="1"/>
    <col min="13317" max="13317" width="10" style="46" customWidth="1"/>
    <col min="13318" max="13318" width="9.85546875" style="46" customWidth="1"/>
    <col min="13319" max="13319" width="7.42578125" style="46" customWidth="1"/>
    <col min="13320" max="13320" width="9.42578125" style="46" customWidth="1"/>
    <col min="13321" max="13321" width="6.7109375" style="46" customWidth="1"/>
    <col min="13322" max="13568" width="8.85546875" style="46"/>
    <col min="13569" max="13569" width="9" style="46" customWidth="1"/>
    <col min="13570" max="13570" width="10.85546875" style="46" customWidth="1"/>
    <col min="13571" max="13571" width="20.28515625" style="46" customWidth="1"/>
    <col min="13572" max="13572" width="6.28515625" style="46" customWidth="1"/>
    <col min="13573" max="13573" width="10" style="46" customWidth="1"/>
    <col min="13574" max="13574" width="9.85546875" style="46" customWidth="1"/>
    <col min="13575" max="13575" width="7.42578125" style="46" customWidth="1"/>
    <col min="13576" max="13576" width="9.42578125" style="46" customWidth="1"/>
    <col min="13577" max="13577" width="6.7109375" style="46" customWidth="1"/>
    <col min="13578" max="13824" width="8.85546875" style="46"/>
    <col min="13825" max="13825" width="9" style="46" customWidth="1"/>
    <col min="13826" max="13826" width="10.85546875" style="46" customWidth="1"/>
    <col min="13827" max="13827" width="20.28515625" style="46" customWidth="1"/>
    <col min="13828" max="13828" width="6.28515625" style="46" customWidth="1"/>
    <col min="13829" max="13829" width="10" style="46" customWidth="1"/>
    <col min="13830" max="13830" width="9.85546875" style="46" customWidth="1"/>
    <col min="13831" max="13831" width="7.42578125" style="46" customWidth="1"/>
    <col min="13832" max="13832" width="9.42578125" style="46" customWidth="1"/>
    <col min="13833" max="13833" width="6.7109375" style="46" customWidth="1"/>
    <col min="13834" max="14080" width="8.85546875" style="46"/>
    <col min="14081" max="14081" width="9" style="46" customWidth="1"/>
    <col min="14082" max="14082" width="10.85546875" style="46" customWidth="1"/>
    <col min="14083" max="14083" width="20.28515625" style="46" customWidth="1"/>
    <col min="14084" max="14084" width="6.28515625" style="46" customWidth="1"/>
    <col min="14085" max="14085" width="10" style="46" customWidth="1"/>
    <col min="14086" max="14086" width="9.85546875" style="46" customWidth="1"/>
    <col min="14087" max="14087" width="7.42578125" style="46" customWidth="1"/>
    <col min="14088" max="14088" width="9.42578125" style="46" customWidth="1"/>
    <col min="14089" max="14089" width="6.7109375" style="46" customWidth="1"/>
    <col min="14090" max="14336" width="8.85546875" style="46"/>
    <col min="14337" max="14337" width="9" style="46" customWidth="1"/>
    <col min="14338" max="14338" width="10.85546875" style="46" customWidth="1"/>
    <col min="14339" max="14339" width="20.28515625" style="46" customWidth="1"/>
    <col min="14340" max="14340" width="6.28515625" style="46" customWidth="1"/>
    <col min="14341" max="14341" width="10" style="46" customWidth="1"/>
    <col min="14342" max="14342" width="9.85546875" style="46" customWidth="1"/>
    <col min="14343" max="14343" width="7.42578125" style="46" customWidth="1"/>
    <col min="14344" max="14344" width="9.42578125" style="46" customWidth="1"/>
    <col min="14345" max="14345" width="6.7109375" style="46" customWidth="1"/>
    <col min="14346" max="14592" width="8.85546875" style="46"/>
    <col min="14593" max="14593" width="9" style="46" customWidth="1"/>
    <col min="14594" max="14594" width="10.85546875" style="46" customWidth="1"/>
    <col min="14595" max="14595" width="20.28515625" style="46" customWidth="1"/>
    <col min="14596" max="14596" width="6.28515625" style="46" customWidth="1"/>
    <col min="14597" max="14597" width="10" style="46" customWidth="1"/>
    <col min="14598" max="14598" width="9.85546875" style="46" customWidth="1"/>
    <col min="14599" max="14599" width="7.42578125" style="46" customWidth="1"/>
    <col min="14600" max="14600" width="9.42578125" style="46" customWidth="1"/>
    <col min="14601" max="14601" width="6.7109375" style="46" customWidth="1"/>
    <col min="14602" max="14848" width="8.85546875" style="46"/>
    <col min="14849" max="14849" width="9" style="46" customWidth="1"/>
    <col min="14850" max="14850" width="10.85546875" style="46" customWidth="1"/>
    <col min="14851" max="14851" width="20.28515625" style="46" customWidth="1"/>
    <col min="14852" max="14852" width="6.28515625" style="46" customWidth="1"/>
    <col min="14853" max="14853" width="10" style="46" customWidth="1"/>
    <col min="14854" max="14854" width="9.85546875" style="46" customWidth="1"/>
    <col min="14855" max="14855" width="7.42578125" style="46" customWidth="1"/>
    <col min="14856" max="14856" width="9.42578125" style="46" customWidth="1"/>
    <col min="14857" max="14857" width="6.7109375" style="46" customWidth="1"/>
    <col min="14858" max="15104" width="8.85546875" style="46"/>
    <col min="15105" max="15105" width="9" style="46" customWidth="1"/>
    <col min="15106" max="15106" width="10.85546875" style="46" customWidth="1"/>
    <col min="15107" max="15107" width="20.28515625" style="46" customWidth="1"/>
    <col min="15108" max="15108" width="6.28515625" style="46" customWidth="1"/>
    <col min="15109" max="15109" width="10" style="46" customWidth="1"/>
    <col min="15110" max="15110" width="9.85546875" style="46" customWidth="1"/>
    <col min="15111" max="15111" width="7.42578125" style="46" customWidth="1"/>
    <col min="15112" max="15112" width="9.42578125" style="46" customWidth="1"/>
    <col min="15113" max="15113" width="6.7109375" style="46" customWidth="1"/>
    <col min="15114" max="15360" width="8.85546875" style="46"/>
    <col min="15361" max="15361" width="9" style="46" customWidth="1"/>
    <col min="15362" max="15362" width="10.85546875" style="46" customWidth="1"/>
    <col min="15363" max="15363" width="20.28515625" style="46" customWidth="1"/>
    <col min="15364" max="15364" width="6.28515625" style="46" customWidth="1"/>
    <col min="15365" max="15365" width="10" style="46" customWidth="1"/>
    <col min="15366" max="15366" width="9.85546875" style="46" customWidth="1"/>
    <col min="15367" max="15367" width="7.42578125" style="46" customWidth="1"/>
    <col min="15368" max="15368" width="9.42578125" style="46" customWidth="1"/>
    <col min="15369" max="15369" width="6.7109375" style="46" customWidth="1"/>
    <col min="15370" max="15616" width="8.85546875" style="46"/>
    <col min="15617" max="15617" width="9" style="46" customWidth="1"/>
    <col min="15618" max="15618" width="10.85546875" style="46" customWidth="1"/>
    <col min="15619" max="15619" width="20.28515625" style="46" customWidth="1"/>
    <col min="15620" max="15620" width="6.28515625" style="46" customWidth="1"/>
    <col min="15621" max="15621" width="10" style="46" customWidth="1"/>
    <col min="15622" max="15622" width="9.85546875" style="46" customWidth="1"/>
    <col min="15623" max="15623" width="7.42578125" style="46" customWidth="1"/>
    <col min="15624" max="15624" width="9.42578125" style="46" customWidth="1"/>
    <col min="15625" max="15625" width="6.7109375" style="46" customWidth="1"/>
    <col min="15626" max="15872" width="8.85546875" style="46"/>
    <col min="15873" max="15873" width="9" style="46" customWidth="1"/>
    <col min="15874" max="15874" width="10.85546875" style="46" customWidth="1"/>
    <col min="15875" max="15875" width="20.28515625" style="46" customWidth="1"/>
    <col min="15876" max="15876" width="6.28515625" style="46" customWidth="1"/>
    <col min="15877" max="15877" width="10" style="46" customWidth="1"/>
    <col min="15878" max="15878" width="9.85546875" style="46" customWidth="1"/>
    <col min="15879" max="15879" width="7.42578125" style="46" customWidth="1"/>
    <col min="15880" max="15880" width="9.42578125" style="46" customWidth="1"/>
    <col min="15881" max="15881" width="6.7109375" style="46" customWidth="1"/>
    <col min="15882" max="16128" width="8.85546875" style="46"/>
    <col min="16129" max="16129" width="9" style="46" customWidth="1"/>
    <col min="16130" max="16130" width="10.85546875" style="46" customWidth="1"/>
    <col min="16131" max="16131" width="20.28515625" style="46" customWidth="1"/>
    <col min="16132" max="16132" width="6.28515625" style="46" customWidth="1"/>
    <col min="16133" max="16133" width="10" style="46" customWidth="1"/>
    <col min="16134" max="16134" width="9.85546875" style="46" customWidth="1"/>
    <col min="16135" max="16135" width="7.42578125" style="46" customWidth="1"/>
    <col min="16136" max="16136" width="9.42578125" style="46" customWidth="1"/>
    <col min="16137" max="16137" width="6.7109375" style="46" customWidth="1"/>
    <col min="16138" max="16384" width="8.85546875" style="46"/>
  </cols>
  <sheetData>
    <row r="1" spans="1:11" ht="13.15" x14ac:dyDescent="0.25">
      <c r="A1" s="236"/>
      <c r="B1" s="236"/>
      <c r="C1" s="236"/>
      <c r="D1" s="236"/>
      <c r="E1" s="236"/>
      <c r="F1" s="236"/>
      <c r="G1" s="236"/>
      <c r="H1" s="236"/>
      <c r="I1" s="236"/>
    </row>
    <row r="2" spans="1:11" ht="21" customHeight="1" x14ac:dyDescent="0.4">
      <c r="A2" s="261" t="s">
        <v>82</v>
      </c>
      <c r="B2" s="262"/>
      <c r="C2" s="262"/>
      <c r="D2" s="262"/>
      <c r="E2" s="262"/>
      <c r="F2" s="262"/>
      <c r="G2" s="262"/>
      <c r="H2" s="262"/>
      <c r="I2" s="262"/>
    </row>
    <row r="3" spans="1:11" ht="13.15" x14ac:dyDescent="0.25">
      <c r="A3" s="236"/>
      <c r="B3" s="236"/>
      <c r="C3" s="236"/>
      <c r="D3" s="236"/>
      <c r="E3" s="236"/>
      <c r="F3" s="236"/>
      <c r="G3" s="236"/>
      <c r="H3" s="236"/>
      <c r="I3" s="236"/>
    </row>
    <row r="4" spans="1:11" ht="13.15" customHeight="1" x14ac:dyDescent="0.25">
      <c r="A4" s="34" t="s">
        <v>81</v>
      </c>
      <c r="B4" s="263" t="s">
        <v>80</v>
      </c>
      <c r="C4" s="263"/>
      <c r="D4" s="39"/>
      <c r="E4" s="39"/>
      <c r="F4" s="39"/>
      <c r="G4" s="39"/>
      <c r="H4" s="39"/>
      <c r="I4" s="39"/>
    </row>
    <row r="5" spans="1:11" ht="13.15" x14ac:dyDescent="0.25">
      <c r="A5" s="236"/>
      <c r="B5" s="236"/>
      <c r="C5" s="236"/>
      <c r="D5" s="236"/>
      <c r="E5" s="236"/>
      <c r="F5" s="236"/>
      <c r="G5" s="236"/>
      <c r="H5" s="236"/>
      <c r="I5" s="236"/>
    </row>
    <row r="6" spans="1:11" ht="13.15" customHeight="1" x14ac:dyDescent="0.25">
      <c r="A6" s="260" t="s">
        <v>79</v>
      </c>
      <c r="B6" s="260"/>
      <c r="C6" s="38" t="s">
        <v>334</v>
      </c>
      <c r="D6" s="264"/>
      <c r="E6" s="264"/>
      <c r="F6" s="264"/>
      <c r="G6" s="264"/>
      <c r="H6" s="264"/>
      <c r="I6" s="264"/>
    </row>
    <row r="7" spans="1:11" ht="13.15" x14ac:dyDescent="0.25">
      <c r="A7" s="236"/>
      <c r="B7" s="236"/>
      <c r="C7" s="236"/>
      <c r="D7" s="236"/>
      <c r="E7" s="236"/>
      <c r="F7" s="236"/>
      <c r="G7" s="236"/>
      <c r="H7" s="236"/>
      <c r="I7" s="236"/>
    </row>
    <row r="8" spans="1:11" ht="13.15" x14ac:dyDescent="0.25">
      <c r="A8" s="260" t="s">
        <v>78</v>
      </c>
      <c r="B8" s="260"/>
      <c r="C8" s="37" t="s">
        <v>263</v>
      </c>
      <c r="D8" s="49" t="s">
        <v>76</v>
      </c>
      <c r="E8" s="36" t="s">
        <v>335</v>
      </c>
      <c r="F8" s="49"/>
      <c r="G8" s="49"/>
      <c r="H8" s="49"/>
      <c r="I8" s="49"/>
    </row>
    <row r="9" spans="1:11" ht="13.15" x14ac:dyDescent="0.25">
      <c r="A9" s="236"/>
      <c r="B9" s="236"/>
      <c r="C9" s="236"/>
      <c r="D9" s="236"/>
      <c r="E9" s="236"/>
      <c r="F9" s="236"/>
      <c r="G9" s="236"/>
      <c r="H9" s="236"/>
      <c r="I9" s="236"/>
    </row>
    <row r="10" spans="1:11" ht="39.6" x14ac:dyDescent="0.25">
      <c r="A10" s="260" t="s">
        <v>74</v>
      </c>
      <c r="B10" s="260"/>
      <c r="C10" s="37"/>
      <c r="D10" s="49" t="s">
        <v>73</v>
      </c>
      <c r="E10" s="49"/>
      <c r="F10" s="49"/>
      <c r="G10" s="38" t="s">
        <v>334</v>
      </c>
      <c r="H10" s="49"/>
      <c r="I10" s="49"/>
      <c r="K10" s="35" t="s">
        <v>71</v>
      </c>
    </row>
    <row r="11" spans="1:11" ht="13.15" x14ac:dyDescent="0.25">
      <c r="A11" s="236"/>
      <c r="B11" s="236"/>
      <c r="C11" s="236"/>
      <c r="D11" s="236"/>
      <c r="E11" s="236"/>
      <c r="F11" s="236"/>
      <c r="G11" s="236"/>
      <c r="H11" s="236"/>
      <c r="I11" s="236"/>
      <c r="K11" s="6">
        <f>SUM(K14:K81)</f>
        <v>977.63999999999987</v>
      </c>
    </row>
    <row r="12" spans="1:11" ht="13.15" customHeight="1" x14ac:dyDescent="0.2">
      <c r="A12" s="253" t="s">
        <v>65</v>
      </c>
      <c r="B12" s="254"/>
      <c r="C12" s="255" t="s">
        <v>70</v>
      </c>
      <c r="D12" s="255"/>
      <c r="E12" s="257" t="s">
        <v>61</v>
      </c>
      <c r="F12" s="257"/>
      <c r="G12" s="258" t="s">
        <v>69</v>
      </c>
      <c r="H12" s="255" t="s">
        <v>68</v>
      </c>
      <c r="I12" s="258" t="s">
        <v>67</v>
      </c>
      <c r="J12" s="251" t="s">
        <v>66</v>
      </c>
      <c r="K12" s="252"/>
    </row>
    <row r="13" spans="1:11" ht="25.5" x14ac:dyDescent="0.2">
      <c r="A13" s="42" t="s">
        <v>65</v>
      </c>
      <c r="B13" s="51" t="s">
        <v>64</v>
      </c>
      <c r="C13" s="256"/>
      <c r="D13" s="256"/>
      <c r="E13" s="51" t="s">
        <v>63</v>
      </c>
      <c r="F13" s="51" t="s">
        <v>62</v>
      </c>
      <c r="G13" s="259"/>
      <c r="H13" s="256"/>
      <c r="I13" s="259"/>
      <c r="J13" s="43" t="s">
        <v>61</v>
      </c>
      <c r="K13" s="44" t="s">
        <v>60</v>
      </c>
    </row>
    <row r="14" spans="1:11" ht="14.45" x14ac:dyDescent="0.3">
      <c r="A14" s="31"/>
      <c r="B14" s="47"/>
      <c r="C14" s="234"/>
      <c r="D14" s="234"/>
      <c r="E14" s="30"/>
      <c r="F14" s="27"/>
      <c r="G14" s="26"/>
      <c r="H14" s="47"/>
      <c r="I14" s="21"/>
      <c r="J14" s="69"/>
      <c r="K14" s="45"/>
    </row>
    <row r="15" spans="1:11" ht="14.45" x14ac:dyDescent="0.3">
      <c r="A15" s="28" t="s">
        <v>321</v>
      </c>
      <c r="B15" s="47"/>
      <c r="C15" s="234"/>
      <c r="D15" s="234"/>
      <c r="E15" s="24">
        <v>6800</v>
      </c>
      <c r="F15" s="27">
        <v>6897</v>
      </c>
      <c r="G15" s="26">
        <f t="shared" ref="G15:G77" si="0">F15-E15</f>
        <v>97</v>
      </c>
      <c r="H15" s="47" t="s">
        <v>45</v>
      </c>
      <c r="I15" s="21">
        <f t="shared" ref="I15:I81" si="1">IF(H15="Business", G15, "0")</f>
        <v>97</v>
      </c>
      <c r="J15" s="69">
        <v>6832</v>
      </c>
      <c r="K15" s="70">
        <v>85.47</v>
      </c>
    </row>
    <row r="16" spans="1:11" ht="14.45" x14ac:dyDescent="0.3">
      <c r="A16" s="28">
        <v>40912</v>
      </c>
      <c r="B16" s="47"/>
      <c r="C16" s="234" t="s">
        <v>316</v>
      </c>
      <c r="D16" s="234"/>
      <c r="E16" s="24">
        <f t="shared" ref="E16:E81" si="2">F15</f>
        <v>6897</v>
      </c>
      <c r="F16" s="27">
        <v>6905</v>
      </c>
      <c r="G16" s="26">
        <f t="shared" si="0"/>
        <v>8</v>
      </c>
      <c r="H16" s="47" t="s">
        <v>45</v>
      </c>
      <c r="I16" s="21">
        <f t="shared" si="1"/>
        <v>8</v>
      </c>
      <c r="J16" s="69"/>
      <c r="K16" s="70"/>
    </row>
    <row r="17" spans="1:12" ht="14.45" x14ac:dyDescent="0.3">
      <c r="A17" s="28">
        <v>40917</v>
      </c>
      <c r="B17" s="47"/>
      <c r="C17" s="234" t="s">
        <v>317</v>
      </c>
      <c r="D17" s="234"/>
      <c r="E17" s="24">
        <f t="shared" si="2"/>
        <v>6905</v>
      </c>
      <c r="F17" s="27">
        <v>7010</v>
      </c>
      <c r="G17" s="26">
        <f t="shared" si="0"/>
        <v>105</v>
      </c>
      <c r="H17" s="47" t="s">
        <v>45</v>
      </c>
      <c r="I17" s="21">
        <f t="shared" si="1"/>
        <v>105</v>
      </c>
      <c r="J17" s="69"/>
      <c r="K17" s="70"/>
    </row>
    <row r="18" spans="1:12" ht="14.45" x14ac:dyDescent="0.3">
      <c r="A18" s="28">
        <v>40918</v>
      </c>
      <c r="B18" s="47"/>
      <c r="C18" s="234" t="s">
        <v>317</v>
      </c>
      <c r="D18" s="234"/>
      <c r="E18" s="24">
        <f t="shared" si="2"/>
        <v>7010</v>
      </c>
      <c r="F18" s="27">
        <v>7094</v>
      </c>
      <c r="G18" s="26">
        <f t="shared" si="0"/>
        <v>84</v>
      </c>
      <c r="H18" s="47" t="s">
        <v>45</v>
      </c>
      <c r="I18" s="21">
        <f t="shared" si="1"/>
        <v>84</v>
      </c>
      <c r="J18" s="69"/>
      <c r="K18" s="70"/>
    </row>
    <row r="19" spans="1:12" ht="14.45" x14ac:dyDescent="0.3">
      <c r="A19" s="28">
        <v>40919</v>
      </c>
      <c r="B19" s="47"/>
      <c r="C19" s="234" t="s">
        <v>318</v>
      </c>
      <c r="D19" s="234"/>
      <c r="E19" s="24">
        <f t="shared" si="2"/>
        <v>7094</v>
      </c>
      <c r="F19" s="27">
        <v>7194</v>
      </c>
      <c r="G19" s="26">
        <f t="shared" si="0"/>
        <v>100</v>
      </c>
      <c r="H19" s="47" t="s">
        <v>45</v>
      </c>
      <c r="I19" s="21">
        <f t="shared" si="1"/>
        <v>100</v>
      </c>
      <c r="J19" s="69"/>
      <c r="K19" s="70"/>
    </row>
    <row r="20" spans="1:12" ht="14.45" x14ac:dyDescent="0.3">
      <c r="A20" s="28">
        <v>40920</v>
      </c>
      <c r="B20" s="47"/>
      <c r="C20" s="234" t="s">
        <v>317</v>
      </c>
      <c r="D20" s="234"/>
      <c r="E20" s="24">
        <f t="shared" si="2"/>
        <v>7194</v>
      </c>
      <c r="F20" s="27">
        <v>7290</v>
      </c>
      <c r="G20" s="26">
        <f t="shared" si="0"/>
        <v>96</v>
      </c>
      <c r="H20" s="47" t="s">
        <v>45</v>
      </c>
      <c r="I20" s="21">
        <f t="shared" si="1"/>
        <v>96</v>
      </c>
      <c r="J20" s="69"/>
      <c r="K20" s="70"/>
    </row>
    <row r="21" spans="1:12" ht="14.45" x14ac:dyDescent="0.3">
      <c r="A21" s="28">
        <v>40921</v>
      </c>
      <c r="B21" s="47"/>
      <c r="C21" s="234" t="s">
        <v>318</v>
      </c>
      <c r="D21" s="234"/>
      <c r="E21" s="24">
        <f t="shared" si="2"/>
        <v>7290</v>
      </c>
      <c r="F21" s="27">
        <v>7400</v>
      </c>
      <c r="G21" s="26">
        <f t="shared" si="0"/>
        <v>110</v>
      </c>
      <c r="H21" s="47" t="s">
        <v>45</v>
      </c>
      <c r="I21" s="21">
        <f t="shared" si="1"/>
        <v>110</v>
      </c>
      <c r="J21" s="69"/>
      <c r="K21" s="70"/>
    </row>
    <row r="22" spans="1:12" ht="14.45" x14ac:dyDescent="0.3">
      <c r="A22" s="28">
        <v>40924</v>
      </c>
      <c r="B22" s="47"/>
      <c r="C22" s="234" t="s">
        <v>318</v>
      </c>
      <c r="D22" s="234"/>
      <c r="E22" s="24">
        <f t="shared" si="2"/>
        <v>7400</v>
      </c>
      <c r="F22" s="27">
        <v>7572</v>
      </c>
      <c r="G22" s="26">
        <f t="shared" si="0"/>
        <v>172</v>
      </c>
      <c r="H22" s="47" t="s">
        <v>45</v>
      </c>
      <c r="I22" s="21">
        <f t="shared" si="1"/>
        <v>172</v>
      </c>
      <c r="J22" s="69">
        <v>7570</v>
      </c>
      <c r="K22" s="70">
        <v>87.34</v>
      </c>
    </row>
    <row r="23" spans="1:12" ht="14.45" customHeight="1" x14ac:dyDescent="0.3">
      <c r="A23" s="28">
        <v>40925</v>
      </c>
      <c r="B23" s="47"/>
      <c r="C23" s="234" t="s">
        <v>318</v>
      </c>
      <c r="D23" s="234"/>
      <c r="E23" s="24">
        <f t="shared" si="2"/>
        <v>7572</v>
      </c>
      <c r="F23" s="27">
        <v>7672</v>
      </c>
      <c r="G23" s="26">
        <f t="shared" si="0"/>
        <v>100</v>
      </c>
      <c r="H23" s="47" t="s">
        <v>45</v>
      </c>
      <c r="I23" s="21">
        <f t="shared" si="1"/>
        <v>100</v>
      </c>
      <c r="J23" s="69"/>
      <c r="K23" s="70"/>
    </row>
    <row r="24" spans="1:12" ht="14.45" customHeight="1" x14ac:dyDescent="0.3">
      <c r="A24" s="28">
        <v>40926</v>
      </c>
      <c r="B24" s="47"/>
      <c r="C24" s="234" t="s">
        <v>318</v>
      </c>
      <c r="D24" s="234"/>
      <c r="E24" s="24">
        <f t="shared" si="2"/>
        <v>7672</v>
      </c>
      <c r="F24" s="27">
        <v>7761</v>
      </c>
      <c r="G24" s="26">
        <f t="shared" si="0"/>
        <v>89</v>
      </c>
      <c r="H24" s="47" t="s">
        <v>45</v>
      </c>
      <c r="I24" s="21">
        <f t="shared" si="1"/>
        <v>89</v>
      </c>
      <c r="J24" s="69"/>
      <c r="K24" s="70"/>
      <c r="L24" s="29"/>
    </row>
    <row r="25" spans="1:12" ht="14.45" customHeight="1" x14ac:dyDescent="0.3">
      <c r="A25" s="28">
        <v>40927</v>
      </c>
      <c r="B25" s="47"/>
      <c r="C25" s="234" t="s">
        <v>318</v>
      </c>
      <c r="D25" s="234"/>
      <c r="E25" s="24">
        <f t="shared" si="2"/>
        <v>7761</v>
      </c>
      <c r="F25" s="27">
        <v>7855</v>
      </c>
      <c r="G25" s="26">
        <f t="shared" si="0"/>
        <v>94</v>
      </c>
      <c r="H25" s="47" t="s">
        <v>45</v>
      </c>
      <c r="I25" s="21">
        <f t="shared" si="1"/>
        <v>94</v>
      </c>
      <c r="J25" s="69"/>
      <c r="K25" s="70"/>
    </row>
    <row r="26" spans="1:12" ht="14.45" customHeight="1" x14ac:dyDescent="0.3">
      <c r="A26" s="28">
        <v>40928</v>
      </c>
      <c r="B26" s="47"/>
      <c r="C26" s="234" t="s">
        <v>318</v>
      </c>
      <c r="D26" s="234"/>
      <c r="E26" s="24">
        <f t="shared" si="2"/>
        <v>7855</v>
      </c>
      <c r="F26" s="27">
        <v>7961</v>
      </c>
      <c r="G26" s="26">
        <f t="shared" si="0"/>
        <v>106</v>
      </c>
      <c r="H26" s="47" t="s">
        <v>45</v>
      </c>
      <c r="I26" s="21">
        <f t="shared" si="1"/>
        <v>106</v>
      </c>
      <c r="J26" s="69"/>
      <c r="K26" s="70"/>
    </row>
    <row r="27" spans="1:12" ht="14.45" x14ac:dyDescent="0.3">
      <c r="A27" s="28">
        <v>40929</v>
      </c>
      <c r="B27" s="47"/>
      <c r="C27" s="234" t="s">
        <v>319</v>
      </c>
      <c r="D27" s="234"/>
      <c r="E27" s="24">
        <f>F26</f>
        <v>7961</v>
      </c>
      <c r="F27" s="27">
        <v>8092</v>
      </c>
      <c r="G27" s="26">
        <f t="shared" si="0"/>
        <v>131</v>
      </c>
      <c r="H27" s="47" t="s">
        <v>45</v>
      </c>
      <c r="I27" s="21">
        <f t="shared" si="1"/>
        <v>131</v>
      </c>
      <c r="J27" s="69"/>
      <c r="K27" s="70"/>
    </row>
    <row r="28" spans="1:12" ht="14.45" x14ac:dyDescent="0.3">
      <c r="A28" s="28">
        <v>40930</v>
      </c>
      <c r="B28" s="47"/>
      <c r="C28" s="234" t="s">
        <v>320</v>
      </c>
      <c r="D28" s="234"/>
      <c r="E28" s="24">
        <f>F27</f>
        <v>8092</v>
      </c>
      <c r="F28" s="27">
        <v>8219</v>
      </c>
      <c r="G28" s="26">
        <f t="shared" si="0"/>
        <v>127</v>
      </c>
      <c r="H28" s="47" t="s">
        <v>45</v>
      </c>
      <c r="I28" s="21">
        <f t="shared" si="1"/>
        <v>127</v>
      </c>
      <c r="J28" s="69"/>
      <c r="K28" s="70"/>
    </row>
    <row r="29" spans="1:12" ht="14.45" x14ac:dyDescent="0.3">
      <c r="A29" s="28">
        <v>40931</v>
      </c>
      <c r="B29" s="47"/>
      <c r="C29" s="234" t="s">
        <v>318</v>
      </c>
      <c r="D29" s="234"/>
      <c r="E29" s="24">
        <f>F28</f>
        <v>8219</v>
      </c>
      <c r="F29" s="27">
        <v>8314</v>
      </c>
      <c r="G29" s="26">
        <f t="shared" si="0"/>
        <v>95</v>
      </c>
      <c r="H29" s="47" t="s">
        <v>45</v>
      </c>
      <c r="I29" s="21">
        <f t="shared" si="1"/>
        <v>95</v>
      </c>
      <c r="J29" s="69">
        <v>8311</v>
      </c>
      <c r="K29" s="70">
        <v>85.55</v>
      </c>
    </row>
    <row r="30" spans="1:12" ht="14.45" x14ac:dyDescent="0.3">
      <c r="A30" s="28">
        <v>40932</v>
      </c>
      <c r="B30" s="47"/>
      <c r="C30" s="234" t="s">
        <v>318</v>
      </c>
      <c r="D30" s="234"/>
      <c r="E30" s="24">
        <f t="shared" si="2"/>
        <v>8314</v>
      </c>
      <c r="F30" s="27">
        <v>8369</v>
      </c>
      <c r="G30" s="26">
        <f t="shared" si="0"/>
        <v>55</v>
      </c>
      <c r="H30" s="47" t="s">
        <v>45</v>
      </c>
      <c r="I30" s="21">
        <f t="shared" si="1"/>
        <v>55</v>
      </c>
      <c r="J30" s="69"/>
      <c r="K30" s="70"/>
    </row>
    <row r="31" spans="1:12" ht="14.45" x14ac:dyDescent="0.3">
      <c r="A31" s="28">
        <v>40933</v>
      </c>
      <c r="B31" s="47"/>
      <c r="C31" s="234" t="s">
        <v>318</v>
      </c>
      <c r="D31" s="234"/>
      <c r="E31" s="24">
        <f t="shared" si="2"/>
        <v>8369</v>
      </c>
      <c r="F31" s="27">
        <v>8415</v>
      </c>
      <c r="G31" s="26">
        <f t="shared" si="0"/>
        <v>46</v>
      </c>
      <c r="H31" s="47" t="s">
        <v>45</v>
      </c>
      <c r="I31" s="21">
        <f t="shared" si="1"/>
        <v>46</v>
      </c>
      <c r="J31" s="69"/>
      <c r="K31" s="70"/>
    </row>
    <row r="32" spans="1:12" ht="14.45" x14ac:dyDescent="0.3">
      <c r="A32" s="28">
        <v>40935</v>
      </c>
      <c r="B32" s="47"/>
      <c r="C32" s="234" t="s">
        <v>318</v>
      </c>
      <c r="D32" s="234"/>
      <c r="E32" s="24">
        <f t="shared" si="2"/>
        <v>8415</v>
      </c>
      <c r="F32" s="27">
        <v>8499</v>
      </c>
      <c r="G32" s="26">
        <f t="shared" si="0"/>
        <v>84</v>
      </c>
      <c r="H32" s="47" t="s">
        <v>45</v>
      </c>
      <c r="I32" s="21">
        <f t="shared" si="1"/>
        <v>84</v>
      </c>
      <c r="J32" s="69"/>
      <c r="K32" s="70"/>
    </row>
    <row r="33" spans="1:11" ht="14.45" x14ac:dyDescent="0.3">
      <c r="A33" s="28">
        <v>40938</v>
      </c>
      <c r="B33" s="47"/>
      <c r="C33" s="234" t="s">
        <v>318</v>
      </c>
      <c r="D33" s="234"/>
      <c r="E33" s="24">
        <f t="shared" si="2"/>
        <v>8499</v>
      </c>
      <c r="F33" s="27">
        <v>8633</v>
      </c>
      <c r="G33" s="26">
        <f t="shared" si="0"/>
        <v>134</v>
      </c>
      <c r="H33" s="47" t="s">
        <v>45</v>
      </c>
      <c r="I33" s="21">
        <f t="shared" si="1"/>
        <v>134</v>
      </c>
      <c r="J33" s="69"/>
      <c r="K33" s="70"/>
    </row>
    <row r="34" spans="1:11" ht="14.45" customHeight="1" x14ac:dyDescent="0.3">
      <c r="A34" s="28">
        <v>40939</v>
      </c>
      <c r="B34" s="47"/>
      <c r="C34" s="234" t="s">
        <v>318</v>
      </c>
      <c r="D34" s="234"/>
      <c r="E34" s="24">
        <f t="shared" si="2"/>
        <v>8633</v>
      </c>
      <c r="F34" s="27">
        <v>8732</v>
      </c>
      <c r="G34" s="26">
        <f t="shared" si="0"/>
        <v>99</v>
      </c>
      <c r="H34" s="47" t="s">
        <v>45</v>
      </c>
      <c r="I34" s="21">
        <f t="shared" si="1"/>
        <v>99</v>
      </c>
      <c r="J34" s="69"/>
      <c r="K34" s="70"/>
    </row>
    <row r="35" spans="1:11" ht="14.45" x14ac:dyDescent="0.3">
      <c r="A35" s="28">
        <v>40940</v>
      </c>
      <c r="B35" s="47"/>
      <c r="C35" s="234" t="s">
        <v>317</v>
      </c>
      <c r="D35" s="234"/>
      <c r="E35" s="24">
        <f t="shared" si="2"/>
        <v>8732</v>
      </c>
      <c r="F35" s="27">
        <v>8821</v>
      </c>
      <c r="G35" s="26">
        <f t="shared" si="0"/>
        <v>89</v>
      </c>
      <c r="H35" s="47" t="s">
        <v>45</v>
      </c>
      <c r="I35" s="21">
        <f t="shared" si="1"/>
        <v>89</v>
      </c>
      <c r="J35" s="69"/>
      <c r="K35" s="70"/>
    </row>
    <row r="36" spans="1:11" ht="14.45" x14ac:dyDescent="0.3">
      <c r="A36" s="28">
        <v>40941</v>
      </c>
      <c r="B36" s="47"/>
      <c r="C36" s="234" t="s">
        <v>317</v>
      </c>
      <c r="D36" s="234"/>
      <c r="E36" s="24">
        <f t="shared" si="2"/>
        <v>8821</v>
      </c>
      <c r="F36" s="27">
        <v>8902</v>
      </c>
      <c r="G36" s="26">
        <f t="shared" si="0"/>
        <v>81</v>
      </c>
      <c r="H36" s="47" t="s">
        <v>45</v>
      </c>
      <c r="I36" s="21">
        <f t="shared" si="1"/>
        <v>81</v>
      </c>
      <c r="J36" s="69">
        <v>8903</v>
      </c>
      <c r="K36" s="70">
        <v>64.67</v>
      </c>
    </row>
    <row r="37" spans="1:11" ht="14.45" x14ac:dyDescent="0.3">
      <c r="A37" s="28">
        <v>40942</v>
      </c>
      <c r="B37" s="47"/>
      <c r="C37" s="234" t="s">
        <v>317</v>
      </c>
      <c r="D37" s="234"/>
      <c r="E37" s="24">
        <f t="shared" si="2"/>
        <v>8902</v>
      </c>
      <c r="F37" s="27">
        <v>8989</v>
      </c>
      <c r="G37" s="26">
        <f t="shared" si="0"/>
        <v>87</v>
      </c>
      <c r="H37" s="47" t="s">
        <v>45</v>
      </c>
      <c r="I37" s="21">
        <f t="shared" si="1"/>
        <v>87</v>
      </c>
      <c r="J37" s="69"/>
      <c r="K37" s="70"/>
    </row>
    <row r="38" spans="1:11" ht="14.45" x14ac:dyDescent="0.3">
      <c r="A38" s="28">
        <v>40945</v>
      </c>
      <c r="B38" s="47"/>
      <c r="C38" s="234" t="s">
        <v>322</v>
      </c>
      <c r="D38" s="234"/>
      <c r="E38" s="24">
        <f t="shared" si="2"/>
        <v>8989</v>
      </c>
      <c r="F38" s="27">
        <v>9456</v>
      </c>
      <c r="G38" s="26">
        <f t="shared" si="0"/>
        <v>467</v>
      </c>
      <c r="H38" s="47" t="s">
        <v>45</v>
      </c>
      <c r="I38" s="21">
        <f t="shared" si="1"/>
        <v>467</v>
      </c>
      <c r="J38" s="69"/>
      <c r="K38" s="70"/>
    </row>
    <row r="39" spans="1:11" ht="14.45" x14ac:dyDescent="0.3">
      <c r="A39" s="28">
        <v>40946</v>
      </c>
      <c r="B39" s="47"/>
      <c r="C39" s="234" t="s">
        <v>318</v>
      </c>
      <c r="D39" s="234"/>
      <c r="E39" s="24">
        <f t="shared" si="2"/>
        <v>9456</v>
      </c>
      <c r="F39" s="27">
        <v>9555</v>
      </c>
      <c r="G39" s="26">
        <f t="shared" si="0"/>
        <v>99</v>
      </c>
      <c r="H39" s="47" t="s">
        <v>45</v>
      </c>
      <c r="I39" s="21">
        <f t="shared" si="1"/>
        <v>99</v>
      </c>
      <c r="J39" s="69"/>
      <c r="K39" s="70"/>
    </row>
    <row r="40" spans="1:11" ht="14.45" x14ac:dyDescent="0.3">
      <c r="A40" s="28">
        <v>40947</v>
      </c>
      <c r="B40" s="47"/>
      <c r="C40" s="234" t="s">
        <v>318</v>
      </c>
      <c r="D40" s="234"/>
      <c r="E40" s="24">
        <f t="shared" si="2"/>
        <v>9555</v>
      </c>
      <c r="F40" s="27">
        <v>9649</v>
      </c>
      <c r="G40" s="26">
        <f t="shared" si="0"/>
        <v>94</v>
      </c>
      <c r="H40" s="47" t="s">
        <v>45</v>
      </c>
      <c r="I40" s="21">
        <f t="shared" si="1"/>
        <v>94</v>
      </c>
      <c r="J40" s="69">
        <v>9647</v>
      </c>
      <c r="K40" s="70">
        <v>79.87</v>
      </c>
    </row>
    <row r="41" spans="1:11" ht="14.45" x14ac:dyDescent="0.3">
      <c r="A41" s="28">
        <v>40948</v>
      </c>
      <c r="B41" s="47"/>
      <c r="C41" s="234" t="s">
        <v>318</v>
      </c>
      <c r="D41" s="234"/>
      <c r="E41" s="24">
        <f t="shared" si="2"/>
        <v>9649</v>
      </c>
      <c r="F41" s="27">
        <v>9744</v>
      </c>
      <c r="G41" s="26">
        <f t="shared" si="0"/>
        <v>95</v>
      </c>
      <c r="H41" s="47" t="s">
        <v>45</v>
      </c>
      <c r="I41" s="21">
        <f t="shared" si="1"/>
        <v>95</v>
      </c>
      <c r="J41" s="69"/>
      <c r="K41" s="70"/>
    </row>
    <row r="42" spans="1:11" ht="14.45" x14ac:dyDescent="0.3">
      <c r="A42" s="28">
        <v>40949</v>
      </c>
      <c r="B42" s="47"/>
      <c r="C42" s="234" t="s">
        <v>318</v>
      </c>
      <c r="D42" s="234"/>
      <c r="E42" s="24">
        <f t="shared" si="2"/>
        <v>9744</v>
      </c>
      <c r="F42" s="27">
        <v>9940</v>
      </c>
      <c r="G42" s="26">
        <f t="shared" si="0"/>
        <v>196</v>
      </c>
      <c r="H42" s="47" t="s">
        <v>45</v>
      </c>
      <c r="I42" s="21">
        <f t="shared" si="1"/>
        <v>196</v>
      </c>
      <c r="J42" s="69"/>
      <c r="K42" s="70"/>
    </row>
    <row r="43" spans="1:11" ht="14.45" x14ac:dyDescent="0.3">
      <c r="A43" s="28">
        <v>40951</v>
      </c>
      <c r="B43" s="47"/>
      <c r="C43" s="234" t="s">
        <v>318</v>
      </c>
      <c r="D43" s="234"/>
      <c r="E43" s="24">
        <f t="shared" si="2"/>
        <v>9940</v>
      </c>
      <c r="F43" s="27">
        <v>10000</v>
      </c>
      <c r="G43" s="26">
        <f t="shared" si="0"/>
        <v>60</v>
      </c>
      <c r="H43" s="47" t="s">
        <v>45</v>
      </c>
      <c r="I43" s="21">
        <f t="shared" si="1"/>
        <v>60</v>
      </c>
      <c r="J43" s="69"/>
      <c r="K43" s="70"/>
    </row>
    <row r="44" spans="1:11" ht="14.45" x14ac:dyDescent="0.3">
      <c r="A44" s="28">
        <v>40952</v>
      </c>
      <c r="B44" s="47"/>
      <c r="C44" s="234" t="s">
        <v>318</v>
      </c>
      <c r="D44" s="234"/>
      <c r="E44" s="24">
        <f t="shared" si="2"/>
        <v>10000</v>
      </c>
      <c r="F44" s="27">
        <v>10145</v>
      </c>
      <c r="G44" s="26">
        <f t="shared" si="0"/>
        <v>145</v>
      </c>
      <c r="H44" s="47" t="s">
        <v>45</v>
      </c>
      <c r="I44" s="21">
        <f t="shared" si="1"/>
        <v>145</v>
      </c>
      <c r="J44" s="69"/>
      <c r="K44" s="70"/>
    </row>
    <row r="45" spans="1:11" ht="14.45" x14ac:dyDescent="0.3">
      <c r="A45" s="28">
        <v>40953</v>
      </c>
      <c r="B45" s="47"/>
      <c r="C45" s="234" t="s">
        <v>318</v>
      </c>
      <c r="D45" s="234"/>
      <c r="E45" s="24">
        <f t="shared" si="2"/>
        <v>10145</v>
      </c>
      <c r="F45" s="27">
        <v>10231</v>
      </c>
      <c r="G45" s="26">
        <f t="shared" si="0"/>
        <v>86</v>
      </c>
      <c r="H45" s="47" t="s">
        <v>45</v>
      </c>
      <c r="I45" s="21">
        <f t="shared" si="1"/>
        <v>86</v>
      </c>
      <c r="J45" s="69"/>
      <c r="K45" s="70"/>
    </row>
    <row r="46" spans="1:11" ht="14.45" x14ac:dyDescent="0.3">
      <c r="A46" s="28" t="s">
        <v>323</v>
      </c>
      <c r="B46" s="47"/>
      <c r="C46" s="234" t="s">
        <v>318</v>
      </c>
      <c r="D46" s="234"/>
      <c r="E46" s="24">
        <f t="shared" si="2"/>
        <v>10231</v>
      </c>
      <c r="F46" s="27">
        <v>10328</v>
      </c>
      <c r="G46" s="26">
        <f t="shared" si="0"/>
        <v>97</v>
      </c>
      <c r="H46" s="47" t="s">
        <v>45</v>
      </c>
      <c r="I46" s="21">
        <f t="shared" si="1"/>
        <v>97</v>
      </c>
      <c r="J46" s="69">
        <v>10323</v>
      </c>
      <c r="K46" s="70">
        <v>76.19</v>
      </c>
    </row>
    <row r="47" spans="1:11" ht="14.45" x14ac:dyDescent="0.3">
      <c r="A47" s="28">
        <v>40954</v>
      </c>
      <c r="B47" s="47"/>
      <c r="C47" s="234" t="s">
        <v>317</v>
      </c>
      <c r="D47" s="234"/>
      <c r="E47" s="24">
        <f t="shared" si="2"/>
        <v>10328</v>
      </c>
      <c r="F47" s="27">
        <v>10444</v>
      </c>
      <c r="G47" s="26">
        <f t="shared" si="0"/>
        <v>116</v>
      </c>
      <c r="H47" s="47" t="s">
        <v>45</v>
      </c>
      <c r="I47" s="21">
        <f t="shared" si="1"/>
        <v>116</v>
      </c>
      <c r="J47" s="69"/>
      <c r="K47" s="70"/>
    </row>
    <row r="48" spans="1:11" ht="14.45" x14ac:dyDescent="0.3">
      <c r="A48" s="28">
        <v>40955</v>
      </c>
      <c r="B48" s="192"/>
      <c r="C48" s="234" t="s">
        <v>317</v>
      </c>
      <c r="D48" s="234"/>
      <c r="E48" s="24">
        <f t="shared" si="2"/>
        <v>10444</v>
      </c>
      <c r="F48" s="27">
        <v>10617</v>
      </c>
      <c r="G48" s="26">
        <f t="shared" si="0"/>
        <v>173</v>
      </c>
      <c r="H48" s="47" t="s">
        <v>45</v>
      </c>
      <c r="I48" s="21">
        <f t="shared" si="1"/>
        <v>173</v>
      </c>
      <c r="J48" s="69"/>
      <c r="K48" s="70"/>
    </row>
    <row r="49" spans="1:11" ht="14.45" x14ac:dyDescent="0.3">
      <c r="A49" s="28">
        <v>40959</v>
      </c>
      <c r="B49" s="192"/>
      <c r="C49" s="247" t="s">
        <v>317</v>
      </c>
      <c r="D49" s="248"/>
      <c r="E49" s="24">
        <f t="shared" si="2"/>
        <v>10617</v>
      </c>
      <c r="F49" s="27">
        <v>10705</v>
      </c>
      <c r="G49" s="26">
        <f t="shared" si="0"/>
        <v>88</v>
      </c>
      <c r="H49" s="47" t="s">
        <v>45</v>
      </c>
      <c r="I49" s="21">
        <f t="shared" si="1"/>
        <v>88</v>
      </c>
      <c r="J49" s="69"/>
      <c r="K49" s="70"/>
    </row>
    <row r="50" spans="1:11" ht="14.45" x14ac:dyDescent="0.3">
      <c r="A50" s="28">
        <v>40960</v>
      </c>
      <c r="B50" s="192"/>
      <c r="C50" s="249" t="s">
        <v>317</v>
      </c>
      <c r="D50" s="250"/>
      <c r="E50" s="24">
        <f t="shared" si="2"/>
        <v>10705</v>
      </c>
      <c r="F50" s="27">
        <v>10795</v>
      </c>
      <c r="G50" s="26">
        <f t="shared" si="0"/>
        <v>90</v>
      </c>
      <c r="H50" s="47" t="s">
        <v>45</v>
      </c>
      <c r="I50" s="21">
        <f t="shared" si="1"/>
        <v>90</v>
      </c>
      <c r="J50" s="69"/>
      <c r="K50" s="70"/>
    </row>
    <row r="51" spans="1:11" ht="14.45" customHeight="1" x14ac:dyDescent="0.3">
      <c r="A51" s="28">
        <v>40961</v>
      </c>
      <c r="B51" s="192"/>
      <c r="C51" s="247" t="s">
        <v>317</v>
      </c>
      <c r="D51" s="248"/>
      <c r="E51" s="24">
        <f t="shared" si="2"/>
        <v>10795</v>
      </c>
      <c r="F51" s="27">
        <v>10892</v>
      </c>
      <c r="G51" s="26">
        <f t="shared" si="0"/>
        <v>97</v>
      </c>
      <c r="H51" s="47" t="s">
        <v>45</v>
      </c>
      <c r="I51" s="21">
        <f t="shared" si="1"/>
        <v>97</v>
      </c>
      <c r="J51" s="69"/>
      <c r="K51" s="70"/>
    </row>
    <row r="52" spans="1:11" ht="14.45" customHeight="1" x14ac:dyDescent="0.3">
      <c r="A52" s="28">
        <v>40962</v>
      </c>
      <c r="B52" s="192"/>
      <c r="C52" s="247" t="s">
        <v>318</v>
      </c>
      <c r="D52" s="248"/>
      <c r="E52" s="24">
        <f t="shared" si="2"/>
        <v>10892</v>
      </c>
      <c r="F52" s="27">
        <v>10995</v>
      </c>
      <c r="G52" s="26">
        <f t="shared" si="0"/>
        <v>103</v>
      </c>
      <c r="H52" s="47" t="s">
        <v>45</v>
      </c>
      <c r="I52" s="21">
        <f t="shared" si="1"/>
        <v>103</v>
      </c>
      <c r="J52" s="69">
        <v>10992</v>
      </c>
      <c r="K52" s="70">
        <v>78.77</v>
      </c>
    </row>
    <row r="53" spans="1:11" ht="27" customHeight="1" x14ac:dyDescent="0.3">
      <c r="A53" s="28" t="s">
        <v>324</v>
      </c>
      <c r="B53" s="192"/>
      <c r="C53" s="247" t="s">
        <v>327</v>
      </c>
      <c r="D53" s="248"/>
      <c r="E53" s="24">
        <f t="shared" si="2"/>
        <v>10995</v>
      </c>
      <c r="F53" s="27">
        <v>11828</v>
      </c>
      <c r="G53" s="26">
        <f t="shared" si="0"/>
        <v>833</v>
      </c>
      <c r="H53" s="47" t="s">
        <v>45</v>
      </c>
      <c r="I53" s="21">
        <f t="shared" si="1"/>
        <v>833</v>
      </c>
      <c r="J53" s="69">
        <v>11432</v>
      </c>
      <c r="K53" s="70">
        <v>45.49</v>
      </c>
    </row>
    <row r="54" spans="1:11" ht="14.45" x14ac:dyDescent="0.3">
      <c r="A54" s="28">
        <v>40966</v>
      </c>
      <c r="B54" s="192"/>
      <c r="C54" s="247" t="s">
        <v>317</v>
      </c>
      <c r="D54" s="248"/>
      <c r="E54" s="24">
        <f t="shared" si="2"/>
        <v>11828</v>
      </c>
      <c r="F54" s="27">
        <v>11910</v>
      </c>
      <c r="G54" s="26">
        <f t="shared" si="0"/>
        <v>82</v>
      </c>
      <c r="H54" s="47" t="s">
        <v>45</v>
      </c>
      <c r="I54" s="21">
        <f t="shared" si="1"/>
        <v>82</v>
      </c>
      <c r="J54" s="69"/>
      <c r="K54" s="70"/>
    </row>
    <row r="55" spans="1:11" ht="14.45" x14ac:dyDescent="0.3">
      <c r="A55" s="28">
        <v>40967</v>
      </c>
      <c r="B55" s="192"/>
      <c r="C55" s="247" t="s">
        <v>317</v>
      </c>
      <c r="D55" s="248"/>
      <c r="E55" s="24">
        <f t="shared" si="2"/>
        <v>11910</v>
      </c>
      <c r="F55" s="27">
        <v>11996</v>
      </c>
      <c r="G55" s="26">
        <f t="shared" si="0"/>
        <v>86</v>
      </c>
      <c r="H55" s="47" t="s">
        <v>45</v>
      </c>
      <c r="I55" s="21">
        <f t="shared" si="1"/>
        <v>86</v>
      </c>
      <c r="J55" s="69"/>
      <c r="K55" s="70"/>
    </row>
    <row r="56" spans="1:11" ht="15" x14ac:dyDescent="0.25">
      <c r="A56" s="28">
        <v>40968</v>
      </c>
      <c r="B56" s="192"/>
      <c r="C56" s="247" t="s">
        <v>317</v>
      </c>
      <c r="D56" s="248"/>
      <c r="E56" s="24">
        <f t="shared" si="2"/>
        <v>11996</v>
      </c>
      <c r="F56" s="27">
        <v>12097</v>
      </c>
      <c r="G56" s="26">
        <f t="shared" si="0"/>
        <v>101</v>
      </c>
      <c r="H56" s="47" t="s">
        <v>45</v>
      </c>
      <c r="I56" s="21">
        <f t="shared" si="1"/>
        <v>101</v>
      </c>
      <c r="J56" s="69"/>
      <c r="K56" s="70"/>
    </row>
    <row r="57" spans="1:11" ht="15" x14ac:dyDescent="0.25">
      <c r="A57" s="28">
        <v>40969</v>
      </c>
      <c r="B57" s="192"/>
      <c r="C57" s="247" t="s">
        <v>317</v>
      </c>
      <c r="D57" s="248"/>
      <c r="E57" s="24">
        <f t="shared" si="2"/>
        <v>12097</v>
      </c>
      <c r="F57" s="27">
        <v>12180</v>
      </c>
      <c r="G57" s="26">
        <f t="shared" si="0"/>
        <v>83</v>
      </c>
      <c r="H57" s="47" t="s">
        <v>45</v>
      </c>
      <c r="I57" s="21">
        <f t="shared" si="1"/>
        <v>83</v>
      </c>
      <c r="J57" s="69">
        <v>12092</v>
      </c>
      <c r="K57" s="71">
        <v>64.19</v>
      </c>
    </row>
    <row r="58" spans="1:11" ht="15" x14ac:dyDescent="0.25">
      <c r="A58" s="28">
        <v>40970</v>
      </c>
      <c r="B58" s="192"/>
      <c r="C58" s="247" t="s">
        <v>317</v>
      </c>
      <c r="D58" s="248"/>
      <c r="E58" s="24">
        <f t="shared" si="2"/>
        <v>12180</v>
      </c>
      <c r="F58" s="27">
        <v>12289</v>
      </c>
      <c r="G58" s="26">
        <f t="shared" si="0"/>
        <v>109</v>
      </c>
      <c r="H58" s="47" t="s">
        <v>45</v>
      </c>
      <c r="I58" s="21">
        <f t="shared" si="1"/>
        <v>109</v>
      </c>
      <c r="J58" s="69"/>
      <c r="K58" s="71"/>
    </row>
    <row r="59" spans="1:11" ht="15" x14ac:dyDescent="0.25">
      <c r="A59" s="28">
        <v>40971</v>
      </c>
      <c r="B59" s="192"/>
      <c r="C59" s="247" t="s">
        <v>328</v>
      </c>
      <c r="D59" s="248"/>
      <c r="E59" s="24">
        <f t="shared" si="2"/>
        <v>12289</v>
      </c>
      <c r="F59" s="27">
        <v>12380</v>
      </c>
      <c r="G59" s="26">
        <f t="shared" si="0"/>
        <v>91</v>
      </c>
      <c r="H59" s="47" t="s">
        <v>45</v>
      </c>
      <c r="I59" s="21">
        <f t="shared" si="1"/>
        <v>91</v>
      </c>
      <c r="J59" s="69"/>
      <c r="K59" s="71"/>
    </row>
    <row r="60" spans="1:11" ht="15" x14ac:dyDescent="0.25">
      <c r="A60" s="28">
        <v>40973</v>
      </c>
      <c r="B60" s="192"/>
      <c r="C60" s="247" t="s">
        <v>317</v>
      </c>
      <c r="D60" s="248"/>
      <c r="E60" s="24">
        <f t="shared" si="2"/>
        <v>12380</v>
      </c>
      <c r="F60" s="27">
        <v>12474</v>
      </c>
      <c r="G60" s="26">
        <f t="shared" si="0"/>
        <v>94</v>
      </c>
      <c r="H60" s="47" t="s">
        <v>45</v>
      </c>
      <c r="I60" s="21">
        <f t="shared" si="1"/>
        <v>94</v>
      </c>
      <c r="J60" s="69"/>
      <c r="K60" s="71"/>
    </row>
    <row r="61" spans="1:11" ht="14.45" customHeight="1" x14ac:dyDescent="0.25">
      <c r="A61" s="28">
        <v>41096</v>
      </c>
      <c r="B61" s="192"/>
      <c r="C61" s="247" t="s">
        <v>317</v>
      </c>
      <c r="D61" s="248"/>
      <c r="E61" s="24">
        <f t="shared" si="2"/>
        <v>12474</v>
      </c>
      <c r="F61" s="23">
        <v>12559</v>
      </c>
      <c r="G61" s="22">
        <f t="shared" si="0"/>
        <v>85</v>
      </c>
      <c r="H61" s="47" t="s">
        <v>45</v>
      </c>
      <c r="I61" s="21">
        <f t="shared" si="1"/>
        <v>85</v>
      </c>
      <c r="J61" s="69"/>
      <c r="K61" s="71"/>
    </row>
    <row r="62" spans="1:11" ht="27" customHeight="1" x14ac:dyDescent="0.25">
      <c r="A62" s="25">
        <v>40975</v>
      </c>
      <c r="B62" s="50"/>
      <c r="C62" s="247" t="s">
        <v>318</v>
      </c>
      <c r="D62" s="248"/>
      <c r="E62" s="24">
        <f t="shared" si="2"/>
        <v>12559</v>
      </c>
      <c r="F62" s="27">
        <v>12671</v>
      </c>
      <c r="G62" s="26">
        <f t="shared" si="0"/>
        <v>112</v>
      </c>
      <c r="H62" s="47" t="s">
        <v>45</v>
      </c>
      <c r="I62" s="21">
        <f t="shared" si="1"/>
        <v>112</v>
      </c>
      <c r="J62" s="69">
        <v>12651</v>
      </c>
      <c r="K62" s="71">
        <v>63.94</v>
      </c>
    </row>
    <row r="63" spans="1:11" ht="15" x14ac:dyDescent="0.25">
      <c r="A63" s="28">
        <v>40976</v>
      </c>
      <c r="B63" s="192"/>
      <c r="C63" s="247" t="s">
        <v>317</v>
      </c>
      <c r="D63" s="248"/>
      <c r="E63" s="24">
        <f t="shared" si="2"/>
        <v>12671</v>
      </c>
      <c r="F63" s="27">
        <v>12796</v>
      </c>
      <c r="G63" s="26">
        <f t="shared" si="0"/>
        <v>125</v>
      </c>
      <c r="H63" s="47" t="s">
        <v>45</v>
      </c>
      <c r="I63" s="21">
        <f t="shared" si="1"/>
        <v>125</v>
      </c>
      <c r="J63" s="69"/>
      <c r="K63" s="71"/>
    </row>
    <row r="64" spans="1:11" ht="14.45" customHeight="1" x14ac:dyDescent="0.25">
      <c r="A64" s="28">
        <v>40977</v>
      </c>
      <c r="B64" s="192"/>
      <c r="C64" s="247" t="s">
        <v>317</v>
      </c>
      <c r="D64" s="248"/>
      <c r="E64" s="24">
        <f t="shared" si="2"/>
        <v>12796</v>
      </c>
      <c r="F64" s="27">
        <v>12895</v>
      </c>
      <c r="G64" s="26">
        <f t="shared" si="0"/>
        <v>99</v>
      </c>
      <c r="H64" s="47" t="s">
        <v>45</v>
      </c>
      <c r="I64" s="21">
        <f t="shared" si="1"/>
        <v>99</v>
      </c>
      <c r="J64" s="69">
        <v>12876</v>
      </c>
      <c r="K64" s="71">
        <v>25.31</v>
      </c>
    </row>
    <row r="65" spans="1:11" ht="27" customHeight="1" x14ac:dyDescent="0.25">
      <c r="A65" s="28" t="s">
        <v>325</v>
      </c>
      <c r="B65" s="192"/>
      <c r="C65" s="247" t="s">
        <v>329</v>
      </c>
      <c r="D65" s="248"/>
      <c r="E65" s="24">
        <f t="shared" si="2"/>
        <v>12895</v>
      </c>
      <c r="F65" s="27">
        <v>13273</v>
      </c>
      <c r="G65" s="26">
        <f t="shared" si="0"/>
        <v>378</v>
      </c>
      <c r="H65" s="47" t="s">
        <v>45</v>
      </c>
      <c r="I65" s="21">
        <f t="shared" si="1"/>
        <v>378</v>
      </c>
      <c r="J65" s="69"/>
      <c r="K65" s="71"/>
    </row>
    <row r="66" spans="1:11" ht="14.45" customHeight="1" x14ac:dyDescent="0.25">
      <c r="A66" s="28">
        <v>40980</v>
      </c>
      <c r="B66" s="192"/>
      <c r="C66" s="247" t="s">
        <v>317</v>
      </c>
      <c r="D66" s="248"/>
      <c r="E66" s="24">
        <f t="shared" si="2"/>
        <v>13273</v>
      </c>
      <c r="F66" s="27">
        <v>13357</v>
      </c>
      <c r="G66" s="26">
        <f t="shared" si="0"/>
        <v>84</v>
      </c>
      <c r="H66" s="47" t="s">
        <v>45</v>
      </c>
      <c r="I66" s="21">
        <f t="shared" si="1"/>
        <v>84</v>
      </c>
      <c r="J66" s="69"/>
      <c r="K66" s="71"/>
    </row>
    <row r="67" spans="1:11" ht="27" customHeight="1" x14ac:dyDescent="0.25">
      <c r="A67" s="28" t="s">
        <v>326</v>
      </c>
      <c r="B67" s="192"/>
      <c r="C67" s="247" t="s">
        <v>318</v>
      </c>
      <c r="D67" s="248"/>
      <c r="E67" s="24">
        <f t="shared" si="2"/>
        <v>13357</v>
      </c>
      <c r="F67" s="23">
        <v>13455</v>
      </c>
      <c r="G67" s="22">
        <f t="shared" si="0"/>
        <v>98</v>
      </c>
      <c r="H67" s="47" t="s">
        <v>45</v>
      </c>
      <c r="I67" s="21">
        <f t="shared" si="1"/>
        <v>98</v>
      </c>
      <c r="J67" s="69"/>
      <c r="K67" s="71"/>
    </row>
    <row r="68" spans="1:11" ht="15" x14ac:dyDescent="0.25">
      <c r="A68" s="25">
        <v>40983</v>
      </c>
      <c r="B68" s="50"/>
      <c r="C68" s="247" t="s">
        <v>317</v>
      </c>
      <c r="D68" s="248"/>
      <c r="E68" s="24">
        <f t="shared" si="2"/>
        <v>13455</v>
      </c>
      <c r="F68" s="23">
        <v>13540</v>
      </c>
      <c r="G68" s="22">
        <f t="shared" si="0"/>
        <v>85</v>
      </c>
      <c r="H68" s="47" t="s">
        <v>45</v>
      </c>
      <c r="I68" s="21">
        <f t="shared" si="1"/>
        <v>85</v>
      </c>
      <c r="J68" s="69">
        <v>13537</v>
      </c>
      <c r="K68" s="71">
        <v>67.8</v>
      </c>
    </row>
    <row r="69" spans="1:11" ht="15" x14ac:dyDescent="0.25">
      <c r="A69" s="28">
        <v>40984</v>
      </c>
      <c r="B69" s="47"/>
      <c r="C69" s="247" t="s">
        <v>318</v>
      </c>
      <c r="D69" s="248"/>
      <c r="E69" s="24">
        <f>F68</f>
        <v>13540</v>
      </c>
      <c r="F69" s="27">
        <v>13631</v>
      </c>
      <c r="G69" s="26">
        <f t="shared" si="0"/>
        <v>91</v>
      </c>
      <c r="H69" s="47" t="s">
        <v>45</v>
      </c>
      <c r="I69" s="21">
        <f t="shared" si="1"/>
        <v>91</v>
      </c>
      <c r="J69" s="69"/>
      <c r="K69" s="71"/>
    </row>
    <row r="70" spans="1:11" ht="15" x14ac:dyDescent="0.25">
      <c r="A70" s="25">
        <v>40985</v>
      </c>
      <c r="B70" s="50"/>
      <c r="C70" s="234" t="s">
        <v>331</v>
      </c>
      <c r="D70" s="234"/>
      <c r="E70" s="24">
        <f t="shared" si="2"/>
        <v>13631</v>
      </c>
      <c r="F70" s="23">
        <v>13710</v>
      </c>
      <c r="G70" s="22">
        <f t="shared" si="0"/>
        <v>79</v>
      </c>
      <c r="H70" s="47" t="s">
        <v>45</v>
      </c>
      <c r="I70" s="21">
        <f t="shared" si="1"/>
        <v>79</v>
      </c>
      <c r="J70" s="69"/>
      <c r="K70" s="71"/>
    </row>
    <row r="71" spans="1:11" ht="27" customHeight="1" x14ac:dyDescent="0.25">
      <c r="A71" s="28" t="s">
        <v>330</v>
      </c>
      <c r="B71" s="47"/>
      <c r="C71" s="234" t="s">
        <v>331</v>
      </c>
      <c r="D71" s="234"/>
      <c r="E71" s="24">
        <f t="shared" si="2"/>
        <v>13710</v>
      </c>
      <c r="F71" s="27">
        <v>13855</v>
      </c>
      <c r="G71" s="26">
        <f t="shared" si="0"/>
        <v>145</v>
      </c>
      <c r="H71" s="47" t="s">
        <v>45</v>
      </c>
      <c r="I71" s="21">
        <f t="shared" si="1"/>
        <v>145</v>
      </c>
      <c r="J71" s="69"/>
      <c r="K71" s="71"/>
    </row>
    <row r="72" spans="1:11" ht="15" x14ac:dyDescent="0.25">
      <c r="A72" s="28">
        <v>40988</v>
      </c>
      <c r="B72" s="47"/>
      <c r="C72" s="247" t="s">
        <v>317</v>
      </c>
      <c r="D72" s="248"/>
      <c r="E72" s="24">
        <f t="shared" si="2"/>
        <v>13855</v>
      </c>
      <c r="F72" s="27">
        <v>13954</v>
      </c>
      <c r="G72" s="26">
        <f t="shared" si="0"/>
        <v>99</v>
      </c>
      <c r="H72" s="47" t="s">
        <v>45</v>
      </c>
      <c r="I72" s="21">
        <f t="shared" si="1"/>
        <v>99</v>
      </c>
      <c r="J72" s="69"/>
      <c r="K72" s="71"/>
    </row>
    <row r="73" spans="1:11" ht="15" x14ac:dyDescent="0.25">
      <c r="A73" s="28">
        <v>40989</v>
      </c>
      <c r="B73" s="47"/>
      <c r="C73" s="247" t="s">
        <v>317</v>
      </c>
      <c r="D73" s="248"/>
      <c r="E73" s="24">
        <f t="shared" si="2"/>
        <v>13954</v>
      </c>
      <c r="F73" s="27">
        <v>14049</v>
      </c>
      <c r="G73" s="26">
        <f t="shared" si="0"/>
        <v>95</v>
      </c>
      <c r="H73" s="47" t="s">
        <v>45</v>
      </c>
      <c r="I73" s="21">
        <f t="shared" si="1"/>
        <v>95</v>
      </c>
      <c r="J73" s="69"/>
      <c r="K73" s="71"/>
    </row>
    <row r="74" spans="1:11" ht="15" x14ac:dyDescent="0.25">
      <c r="A74" s="28">
        <v>40990</v>
      </c>
      <c r="B74" s="47"/>
      <c r="C74" s="247" t="s">
        <v>317</v>
      </c>
      <c r="D74" s="248"/>
      <c r="E74" s="24">
        <f t="shared" si="2"/>
        <v>14049</v>
      </c>
      <c r="F74" s="27">
        <v>14151</v>
      </c>
      <c r="G74" s="26">
        <f t="shared" si="0"/>
        <v>102</v>
      </c>
      <c r="H74" s="47" t="s">
        <v>45</v>
      </c>
      <c r="I74" s="21">
        <f t="shared" si="1"/>
        <v>102</v>
      </c>
      <c r="J74" s="69"/>
      <c r="K74" s="71"/>
    </row>
    <row r="75" spans="1:11" ht="15" x14ac:dyDescent="0.25">
      <c r="A75" s="28">
        <v>40991</v>
      </c>
      <c r="B75" s="47"/>
      <c r="C75" s="247" t="s">
        <v>317</v>
      </c>
      <c r="D75" s="248"/>
      <c r="E75" s="24">
        <f t="shared" si="2"/>
        <v>14151</v>
      </c>
      <c r="F75" s="27">
        <v>14252</v>
      </c>
      <c r="G75" s="26">
        <f t="shared" si="0"/>
        <v>101</v>
      </c>
      <c r="H75" s="47" t="s">
        <v>45</v>
      </c>
      <c r="I75" s="21">
        <f t="shared" si="1"/>
        <v>101</v>
      </c>
      <c r="J75" s="69"/>
      <c r="K75" s="71"/>
    </row>
    <row r="76" spans="1:11" ht="15" x14ac:dyDescent="0.25">
      <c r="A76" s="25">
        <v>40992</v>
      </c>
      <c r="B76" s="50"/>
      <c r="C76" s="247" t="s">
        <v>332</v>
      </c>
      <c r="D76" s="248"/>
      <c r="E76" s="24">
        <f t="shared" si="2"/>
        <v>14252</v>
      </c>
      <c r="F76" s="23">
        <v>14626</v>
      </c>
      <c r="G76" s="22">
        <f t="shared" si="0"/>
        <v>374</v>
      </c>
      <c r="H76" s="47" t="s">
        <v>45</v>
      </c>
      <c r="I76" s="21">
        <f t="shared" si="1"/>
        <v>374</v>
      </c>
      <c r="J76" s="69">
        <v>14251</v>
      </c>
      <c r="K76" s="71">
        <v>80.78</v>
      </c>
    </row>
    <row r="77" spans="1:11" ht="15" x14ac:dyDescent="0.25">
      <c r="A77" s="25">
        <v>40994</v>
      </c>
      <c r="B77" s="50"/>
      <c r="C77" s="247" t="s">
        <v>317</v>
      </c>
      <c r="D77" s="248"/>
      <c r="E77" s="24">
        <f t="shared" si="2"/>
        <v>14626</v>
      </c>
      <c r="F77" s="23">
        <v>14714</v>
      </c>
      <c r="G77" s="22">
        <f t="shared" si="0"/>
        <v>88</v>
      </c>
      <c r="H77" s="47" t="s">
        <v>45</v>
      </c>
      <c r="I77" s="21">
        <f t="shared" si="1"/>
        <v>88</v>
      </c>
      <c r="J77" s="69"/>
      <c r="K77" s="71"/>
    </row>
    <row r="78" spans="1:11" ht="15" x14ac:dyDescent="0.25">
      <c r="A78" s="28">
        <v>40995</v>
      </c>
      <c r="B78" s="47"/>
      <c r="C78" s="247" t="s">
        <v>317</v>
      </c>
      <c r="D78" s="248"/>
      <c r="E78" s="24">
        <f>F57</f>
        <v>12180</v>
      </c>
      <c r="F78" s="27">
        <v>14803</v>
      </c>
      <c r="G78" s="26">
        <f t="shared" ref="G78:G81" si="3">F78-E78</f>
        <v>2623</v>
      </c>
      <c r="H78" s="47" t="s">
        <v>45</v>
      </c>
      <c r="I78" s="21">
        <f t="shared" si="1"/>
        <v>2623</v>
      </c>
      <c r="J78" s="69"/>
      <c r="K78" s="71"/>
    </row>
    <row r="79" spans="1:11" ht="15" x14ac:dyDescent="0.25">
      <c r="A79" s="28">
        <v>40996</v>
      </c>
      <c r="B79" s="47"/>
      <c r="C79" s="247" t="s">
        <v>317</v>
      </c>
      <c r="D79" s="248"/>
      <c r="E79" s="24">
        <f t="shared" si="2"/>
        <v>14803</v>
      </c>
      <c r="F79" s="27">
        <v>14910</v>
      </c>
      <c r="G79" s="26">
        <f t="shared" si="3"/>
        <v>107</v>
      </c>
      <c r="H79" s="47" t="s">
        <v>45</v>
      </c>
      <c r="I79" s="21">
        <f t="shared" si="1"/>
        <v>107</v>
      </c>
      <c r="J79" s="69">
        <v>14897</v>
      </c>
      <c r="K79" s="71">
        <v>72.27</v>
      </c>
    </row>
    <row r="80" spans="1:11" ht="15" x14ac:dyDescent="0.25">
      <c r="A80" s="28">
        <v>40997</v>
      </c>
      <c r="B80" s="47"/>
      <c r="C80" s="247" t="s">
        <v>333</v>
      </c>
      <c r="D80" s="248"/>
      <c r="E80" s="24">
        <f t="shared" si="2"/>
        <v>14910</v>
      </c>
      <c r="F80" s="27">
        <v>15000</v>
      </c>
      <c r="G80" s="26">
        <f t="shared" si="3"/>
        <v>90</v>
      </c>
      <c r="H80" s="47" t="s">
        <v>45</v>
      </c>
      <c r="I80" s="21">
        <f t="shared" si="1"/>
        <v>90</v>
      </c>
      <c r="J80" s="69"/>
      <c r="K80" s="71"/>
    </row>
    <row r="81" spans="1:11" ht="15.75" thickBot="1" x14ac:dyDescent="0.3">
      <c r="A81" s="25">
        <v>40998</v>
      </c>
      <c r="B81" s="50"/>
      <c r="C81" s="247" t="s">
        <v>317</v>
      </c>
      <c r="D81" s="248"/>
      <c r="E81" s="24">
        <f t="shared" si="2"/>
        <v>15000</v>
      </c>
      <c r="F81" s="23">
        <v>15120</v>
      </c>
      <c r="G81" s="22">
        <f t="shared" si="3"/>
        <v>120</v>
      </c>
      <c r="H81" s="47" t="s">
        <v>45</v>
      </c>
      <c r="I81" s="21">
        <f t="shared" si="1"/>
        <v>120</v>
      </c>
      <c r="J81" s="69"/>
      <c r="K81" s="71"/>
    </row>
    <row r="82" spans="1:11" ht="26.25" thickBot="1" x14ac:dyDescent="0.25">
      <c r="A82" s="235"/>
      <c r="B82" s="235"/>
      <c r="C82" s="235"/>
      <c r="D82" s="235"/>
      <c r="E82" s="18"/>
      <c r="F82" s="20" t="s">
        <v>44</v>
      </c>
      <c r="G82" s="19">
        <f>SUM(G14:G81)</f>
        <v>10854</v>
      </c>
      <c r="H82" s="18"/>
      <c r="I82" s="17">
        <f>SUM(I14:I81)</f>
        <v>10854</v>
      </c>
      <c r="K82" s="6">
        <f>SUM(K14:K81)</f>
        <v>977.63999999999987</v>
      </c>
    </row>
    <row r="83" spans="1:11" x14ac:dyDescent="0.2">
      <c r="A83" s="235"/>
      <c r="B83" s="235"/>
      <c r="C83" s="235"/>
      <c r="D83" s="235"/>
      <c r="E83" s="238"/>
      <c r="F83" s="239"/>
      <c r="G83" s="239"/>
      <c r="H83" s="240"/>
      <c r="I83" s="241"/>
      <c r="K83" s="46"/>
    </row>
    <row r="84" spans="1:11" ht="15" x14ac:dyDescent="0.25">
      <c r="A84" s="235"/>
      <c r="B84" s="235"/>
      <c r="C84" s="235"/>
      <c r="D84" s="235"/>
      <c r="E84" s="242" t="s">
        <v>43</v>
      </c>
      <c r="F84" s="243"/>
      <c r="G84" s="16">
        <f>(I82/G82)</f>
        <v>1</v>
      </c>
      <c r="H84" s="48"/>
      <c r="I84" s="15"/>
      <c r="K84" s="46"/>
    </row>
    <row r="85" spans="1:11" ht="13.5" thickBot="1" x14ac:dyDescent="0.25">
      <c r="A85" s="235"/>
      <c r="B85" s="235"/>
      <c r="C85" s="235"/>
      <c r="D85" s="235"/>
      <c r="E85" s="244" t="s">
        <v>42</v>
      </c>
      <c r="F85" s="245"/>
      <c r="G85" s="245"/>
      <c r="H85" s="245"/>
      <c r="I85" s="246"/>
      <c r="K85" s="46"/>
    </row>
    <row r="86" spans="1:11" x14ac:dyDescent="0.2">
      <c r="A86" s="235"/>
      <c r="B86" s="235"/>
      <c r="C86" s="235"/>
      <c r="D86" s="235"/>
      <c r="E86" s="235"/>
      <c r="F86" s="236"/>
      <c r="G86" s="236"/>
      <c r="H86" s="236"/>
      <c r="I86" s="237"/>
      <c r="K86" s="46"/>
    </row>
    <row r="87" spans="1:11" x14ac:dyDescent="0.2">
      <c r="A87" s="46"/>
      <c r="K87" s="46"/>
    </row>
  </sheetData>
  <mergeCells count="96">
    <mergeCell ref="A6:B6"/>
    <mergeCell ref="D6:I6"/>
    <mergeCell ref="A1:I1"/>
    <mergeCell ref="A2:I2"/>
    <mergeCell ref="A3:I3"/>
    <mergeCell ref="B4:C4"/>
    <mergeCell ref="A5:I5"/>
    <mergeCell ref="A7:I7"/>
    <mergeCell ref="A8:B8"/>
    <mergeCell ref="A9:I9"/>
    <mergeCell ref="A10:B10"/>
    <mergeCell ref="A11:I11"/>
    <mergeCell ref="A12:B12"/>
    <mergeCell ref="C12:D13"/>
    <mergeCell ref="E12:F12"/>
    <mergeCell ref="G12:G13"/>
    <mergeCell ref="H12:H13"/>
    <mergeCell ref="C24:D24"/>
    <mergeCell ref="J12:K12"/>
    <mergeCell ref="C14:D14"/>
    <mergeCell ref="C15:D15"/>
    <mergeCell ref="C16:D16"/>
    <mergeCell ref="C17:D17"/>
    <mergeCell ref="C18:D18"/>
    <mergeCell ref="I12:I13"/>
    <mergeCell ref="C19:D19"/>
    <mergeCell ref="C20:D20"/>
    <mergeCell ref="C21:D21"/>
    <mergeCell ref="C22:D22"/>
    <mergeCell ref="C23:D23"/>
    <mergeCell ref="C25:D25"/>
    <mergeCell ref="C26:D26"/>
    <mergeCell ref="C27:D27"/>
    <mergeCell ref="C28:D28"/>
    <mergeCell ref="C29:D29"/>
    <mergeCell ref="C41:D4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71:D71"/>
    <mergeCell ref="C72:D72"/>
    <mergeCell ref="C73:D73"/>
    <mergeCell ref="C74:D74"/>
    <mergeCell ref="C75:D75"/>
    <mergeCell ref="C59:D59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67:D67"/>
    <mergeCell ref="C68:D68"/>
    <mergeCell ref="C69:D69"/>
    <mergeCell ref="C70:D70"/>
    <mergeCell ref="C60:D60"/>
    <mergeCell ref="C61:D61"/>
    <mergeCell ref="C66:D66"/>
    <mergeCell ref="C78:D78"/>
    <mergeCell ref="C79:D79"/>
    <mergeCell ref="C80:D80"/>
    <mergeCell ref="C81:D81"/>
    <mergeCell ref="C76:D76"/>
    <mergeCell ref="C77:D77"/>
    <mergeCell ref="A86:D86"/>
    <mergeCell ref="E86:I86"/>
    <mergeCell ref="A82:D82"/>
    <mergeCell ref="A83:D83"/>
    <mergeCell ref="E83:I83"/>
    <mergeCell ref="A84:D84"/>
    <mergeCell ref="E84:F84"/>
    <mergeCell ref="A85:D85"/>
    <mergeCell ref="E85:I8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"/>
  <sheetViews>
    <sheetView topLeftCell="P2" zoomScaleNormal="100" workbookViewId="0">
      <selection activeCell="AH42" sqref="AH42"/>
    </sheetView>
  </sheetViews>
  <sheetFormatPr defaultColWidth="9.85546875" defaultRowHeight="12.75" x14ac:dyDescent="0.2"/>
  <cols>
    <col min="1" max="1" width="9.85546875" style="72"/>
    <col min="2" max="2" width="10.140625" style="14" bestFit="1" customWidth="1"/>
    <col min="3" max="4" width="10.140625" style="6" customWidth="1"/>
    <col min="5" max="5" width="9.85546875" style="6"/>
    <col min="6" max="6" width="10.140625" style="6" bestFit="1" customWidth="1"/>
    <col min="7" max="8" width="9.85546875" style="72"/>
    <col min="9" max="9" width="1.7109375" style="117" customWidth="1"/>
    <col min="10" max="10" width="9.85546875" style="72"/>
    <col min="11" max="12" width="10.140625" style="72" bestFit="1" customWidth="1"/>
    <col min="13" max="13" width="9.85546875" style="72"/>
    <col min="14" max="14" width="10.140625" style="72" bestFit="1" customWidth="1"/>
    <col min="15" max="17" width="9.85546875" style="72"/>
    <col min="18" max="18" width="2.140625" style="117" customWidth="1"/>
    <col min="19" max="19" width="9.85546875" style="72"/>
    <col min="20" max="21" width="10.140625" style="72" bestFit="1" customWidth="1"/>
    <col min="22" max="22" width="11.140625" style="72" bestFit="1" customWidth="1"/>
    <col min="23" max="23" width="10.140625" style="72" bestFit="1" customWidth="1"/>
    <col min="24" max="24" width="9.85546875" style="72"/>
    <col min="25" max="25" width="9.85546875" style="72" customWidth="1"/>
    <col min="26" max="26" width="9.85546875" style="72"/>
    <col min="27" max="27" width="2.140625" style="117" customWidth="1"/>
    <col min="28" max="28" width="9.85546875" style="72"/>
    <col min="29" max="29" width="10.140625" style="72" bestFit="1" customWidth="1"/>
    <col min="30" max="30" width="11.28515625" style="72" customWidth="1"/>
    <col min="31" max="16384" width="9.85546875" style="72"/>
  </cols>
  <sheetData>
    <row r="1" spans="1:35" s="40" customFormat="1" ht="14.45" x14ac:dyDescent="0.3">
      <c r="I1" s="114"/>
      <c r="R1" s="114"/>
      <c r="AA1" s="114"/>
    </row>
    <row r="2" spans="1:35" s="40" customFormat="1" ht="28.9" customHeight="1" x14ac:dyDescent="0.3">
      <c r="I2" s="114"/>
      <c r="R2" s="114"/>
      <c r="AA2" s="114"/>
    </row>
    <row r="3" spans="1:35" customFormat="1" ht="11.45" customHeight="1" x14ac:dyDescent="0.3">
      <c r="I3" s="115"/>
      <c r="R3" s="115"/>
      <c r="AA3" s="115"/>
    </row>
    <row r="4" spans="1:35" customFormat="1" ht="14.45" x14ac:dyDescent="0.3">
      <c r="B4" t="s">
        <v>12</v>
      </c>
      <c r="C4" t="s">
        <v>11</v>
      </c>
      <c r="F4" t="s">
        <v>10</v>
      </c>
      <c r="I4" s="115"/>
      <c r="R4" s="115"/>
      <c r="AA4" s="115"/>
    </row>
    <row r="5" spans="1:35" customFormat="1" ht="14.45" x14ac:dyDescent="0.3">
      <c r="B5" t="s">
        <v>9</v>
      </c>
      <c r="C5" t="s">
        <v>8</v>
      </c>
      <c r="F5" t="s">
        <v>7</v>
      </c>
      <c r="I5" s="115"/>
      <c r="J5" t="s">
        <v>6</v>
      </c>
      <c r="N5" t="s">
        <v>5</v>
      </c>
      <c r="R5" s="115"/>
      <c r="AA5" s="115"/>
    </row>
    <row r="6" spans="1:35" ht="3.6" customHeight="1" x14ac:dyDescent="0.3">
      <c r="A6" s="3"/>
      <c r="B6" s="85"/>
      <c r="C6" s="86"/>
      <c r="D6" s="86"/>
      <c r="E6" s="86"/>
      <c r="F6" s="4"/>
      <c r="G6" s="3"/>
      <c r="H6" s="3"/>
      <c r="I6" s="116"/>
      <c r="J6" s="11"/>
      <c r="K6" s="3"/>
      <c r="L6" s="3"/>
      <c r="M6" s="3"/>
      <c r="N6" s="3"/>
      <c r="O6" s="3"/>
    </row>
    <row r="7" spans="1:35" ht="3.6" customHeight="1" x14ac:dyDescent="0.3">
      <c r="A7" s="3"/>
      <c r="B7" s="85"/>
      <c r="C7" s="86"/>
      <c r="D7" s="86"/>
      <c r="E7" s="86"/>
      <c r="F7" s="4"/>
      <c r="G7" s="3"/>
      <c r="H7" s="3"/>
      <c r="I7" s="116"/>
      <c r="J7" s="11"/>
      <c r="K7" s="3"/>
      <c r="L7" s="3"/>
      <c r="M7" s="3"/>
      <c r="N7" s="3"/>
      <c r="O7" s="3"/>
    </row>
    <row r="8" spans="1:35" ht="41.45" x14ac:dyDescent="0.3">
      <c r="A8" s="3" t="s">
        <v>103</v>
      </c>
      <c r="B8" s="85"/>
      <c r="C8" s="86" t="s">
        <v>158</v>
      </c>
      <c r="D8" s="86" t="s">
        <v>159</v>
      </c>
      <c r="E8" s="86" t="s">
        <v>210</v>
      </c>
      <c r="F8" s="88" t="s">
        <v>209</v>
      </c>
      <c r="G8" s="3"/>
      <c r="H8" s="3"/>
      <c r="I8" s="87"/>
      <c r="J8" s="89" t="s">
        <v>104</v>
      </c>
      <c r="K8" s="85"/>
      <c r="L8" s="86" t="s">
        <v>158</v>
      </c>
      <c r="M8" s="86" t="s">
        <v>159</v>
      </c>
      <c r="N8" s="86" t="s">
        <v>210</v>
      </c>
      <c r="O8" s="88" t="s">
        <v>209</v>
      </c>
      <c r="P8" s="3"/>
      <c r="Q8" s="3"/>
      <c r="R8" s="84"/>
      <c r="S8" s="3" t="s">
        <v>105</v>
      </c>
      <c r="T8" s="85"/>
      <c r="U8" s="86" t="s">
        <v>158</v>
      </c>
      <c r="V8" s="86" t="s">
        <v>159</v>
      </c>
      <c r="W8" s="86" t="s">
        <v>210</v>
      </c>
      <c r="X8" s="88" t="s">
        <v>209</v>
      </c>
      <c r="Y8" s="3"/>
      <c r="Z8" s="3"/>
      <c r="AA8" s="84"/>
      <c r="AB8" s="89" t="s">
        <v>106</v>
      </c>
      <c r="AC8" s="85"/>
      <c r="AD8" s="86" t="s">
        <v>158</v>
      </c>
      <c r="AE8" s="86" t="s">
        <v>159</v>
      </c>
      <c r="AF8" s="86" t="s">
        <v>210</v>
      </c>
      <c r="AG8" s="88" t="s">
        <v>209</v>
      </c>
      <c r="AH8" s="3"/>
      <c r="AI8" s="3"/>
    </row>
    <row r="9" spans="1:35" ht="13.15" x14ac:dyDescent="0.25">
      <c r="B9" s="14" t="s">
        <v>156</v>
      </c>
      <c r="C9" s="6">
        <f>SUM(C12:C35)</f>
        <v>60509.299999999988</v>
      </c>
      <c r="D9" s="6">
        <f>SUM(D12:D35)</f>
        <v>17912.940500000004</v>
      </c>
      <c r="E9" s="6">
        <f>SUM(E12:E35)</f>
        <v>1791.2605000000001</v>
      </c>
      <c r="F9" s="6">
        <f>SUM(F12:F35)</f>
        <v>40805.1</v>
      </c>
      <c r="G9" s="45">
        <f>SUM(G12:G35)</f>
        <v>12241.529699999999</v>
      </c>
      <c r="I9" s="84"/>
      <c r="J9" s="69"/>
      <c r="K9" s="14" t="s">
        <v>156</v>
      </c>
      <c r="L9" s="6">
        <f>SUM(L12:L35)</f>
        <v>81726.499999999985</v>
      </c>
      <c r="M9" s="6">
        <f>SUM(M12:M35)</f>
        <v>24519.479999999996</v>
      </c>
      <c r="N9" s="6">
        <f>SUM(N12:N35)</f>
        <v>2451.91</v>
      </c>
      <c r="O9" s="6">
        <f>SUM(O12:O35)</f>
        <v>54775.104999999996</v>
      </c>
      <c r="P9" s="45">
        <f>SUM(P12:P35)</f>
        <v>16426.532999999999</v>
      </c>
      <c r="R9" s="84"/>
      <c r="T9" s="14" t="s">
        <v>156</v>
      </c>
      <c r="U9" s="6">
        <f>SUM(U12:U35)</f>
        <v>84910.029999999984</v>
      </c>
      <c r="V9" s="6">
        <f>SUM(V12:V35)</f>
        <v>25287.0196</v>
      </c>
      <c r="W9" s="6">
        <f>SUM(W12:W35)</f>
        <v>2544.84</v>
      </c>
      <c r="X9" s="6">
        <f>SUM(X12:X35)</f>
        <v>57094.329999999994</v>
      </c>
      <c r="Y9" s="45">
        <f>SUM(Y12:Y35)</f>
        <v>17123.451120000002</v>
      </c>
      <c r="AA9" s="84"/>
      <c r="AB9" s="69"/>
      <c r="AC9" s="14" t="s">
        <v>156</v>
      </c>
      <c r="AD9" s="6">
        <f>SUM(AD12:AD35)</f>
        <v>130254.95999999998</v>
      </c>
      <c r="AE9" s="6">
        <f>SUM(AE12:AE35)</f>
        <v>38900.881099999999</v>
      </c>
      <c r="AF9" s="6">
        <f>SUM(AF12:AF35)</f>
        <v>3892.1079</v>
      </c>
      <c r="AG9" s="6">
        <f>SUM(AG12:AG35)</f>
        <v>89638.98</v>
      </c>
      <c r="AH9" s="45">
        <f>SUM(AH12:AH35)</f>
        <v>26238.5913</v>
      </c>
    </row>
    <row r="10" spans="1:35" ht="13.15" x14ac:dyDescent="0.25">
      <c r="B10" s="14" t="s">
        <v>4</v>
      </c>
      <c r="C10" s="6">
        <f>AVERAGE(C13:C25)</f>
        <v>4975.8374999999987</v>
      </c>
      <c r="D10" s="6">
        <f>AVERAGE(D13:D95)</f>
        <v>765.83168750000016</v>
      </c>
      <c r="E10" s="6">
        <f>AVERAGE(E13:E95)</f>
        <v>269.22752083333336</v>
      </c>
      <c r="F10" s="6">
        <f>AVERAGE(F14:F95)</f>
        <v>3509.0063636363634</v>
      </c>
      <c r="G10" s="91">
        <v>0.3</v>
      </c>
      <c r="I10" s="84"/>
      <c r="J10" s="69"/>
      <c r="K10" s="14" t="s">
        <v>4</v>
      </c>
      <c r="L10" s="6">
        <f>AVERAGE(L12:L25)</f>
        <v>6810.5416666666652</v>
      </c>
      <c r="M10" s="6">
        <f>AVERAGE(M13:M95)</f>
        <v>812.7786666666666</v>
      </c>
      <c r="N10" s="6">
        <f>AVERAGE(N13:N95)</f>
        <v>557.11969696969686</v>
      </c>
      <c r="O10" s="6">
        <f>AVERAGE(O12:O95)</f>
        <v>2282.2960416666665</v>
      </c>
      <c r="P10" s="91">
        <v>0.3</v>
      </c>
      <c r="R10" s="84"/>
      <c r="T10" s="14" t="s">
        <v>4</v>
      </c>
      <c r="U10" s="6">
        <f>AVERAGE(U12:U25)</f>
        <v>6023.6757142857123</v>
      </c>
      <c r="V10" s="6">
        <f>AVERAGE(V13:V95)</f>
        <v>1780.0366399999998</v>
      </c>
      <c r="W10" s="6">
        <f>AVERAGE(W13:W95)</f>
        <v>2099.8100000000004</v>
      </c>
      <c r="X10" s="6">
        <f>AVERAGE(X12:X95)</f>
        <v>3568.3956249999997</v>
      </c>
      <c r="Y10" s="91">
        <v>0.3</v>
      </c>
      <c r="AA10" s="84"/>
      <c r="AB10" s="69"/>
      <c r="AC10" s="14" t="s">
        <v>4</v>
      </c>
      <c r="AD10" s="6">
        <f>AVERAGE(AD12:AD25)</f>
        <v>9301.0685714285701</v>
      </c>
      <c r="AE10" s="6">
        <f>AVERAGE(AE13:AE95)</f>
        <v>2768.8615384615382</v>
      </c>
      <c r="AF10" s="6">
        <f>AVERAGE(AF13:AF95)</f>
        <v>163.70631818181818</v>
      </c>
      <c r="AG10" s="6">
        <f>AVERAGE(AG12:AG95)</f>
        <v>5975.9319999999998</v>
      </c>
      <c r="AH10" s="91">
        <v>0.3</v>
      </c>
    </row>
    <row r="11" spans="1:35" ht="27" x14ac:dyDescent="0.3">
      <c r="A11" s="72" t="s">
        <v>90</v>
      </c>
      <c r="B11" s="14" t="s">
        <v>2</v>
      </c>
      <c r="E11" s="90" t="s">
        <v>3</v>
      </c>
      <c r="F11" s="35" t="s">
        <v>1</v>
      </c>
      <c r="G11" s="91" t="s">
        <v>0</v>
      </c>
      <c r="I11" s="84"/>
      <c r="J11" s="69" t="s">
        <v>90</v>
      </c>
      <c r="K11" s="14" t="s">
        <v>2</v>
      </c>
      <c r="L11" s="6"/>
      <c r="M11" s="6"/>
      <c r="N11" s="90" t="s">
        <v>3</v>
      </c>
      <c r="O11" s="35" t="s">
        <v>1</v>
      </c>
      <c r="P11" s="91" t="s">
        <v>0</v>
      </c>
      <c r="R11" s="84"/>
      <c r="S11" s="72" t="s">
        <v>90</v>
      </c>
      <c r="T11" s="14" t="s">
        <v>2</v>
      </c>
      <c r="U11" s="6"/>
      <c r="V11" s="6"/>
      <c r="W11" s="90" t="s">
        <v>3</v>
      </c>
      <c r="X11" s="35" t="s">
        <v>1</v>
      </c>
      <c r="Y11" s="91" t="s">
        <v>0</v>
      </c>
      <c r="AA11" s="84"/>
      <c r="AB11" s="69" t="s">
        <v>90</v>
      </c>
      <c r="AC11" s="14" t="s">
        <v>2</v>
      </c>
      <c r="AD11" s="6"/>
      <c r="AE11" s="6"/>
      <c r="AF11" s="90" t="s">
        <v>3</v>
      </c>
      <c r="AG11" s="35" t="s">
        <v>1</v>
      </c>
      <c r="AH11" s="91" t="s">
        <v>0</v>
      </c>
    </row>
    <row r="12" spans="1:35" ht="13.15" x14ac:dyDescent="0.25">
      <c r="A12" s="72" t="s">
        <v>89</v>
      </c>
      <c r="B12" s="14">
        <v>40730</v>
      </c>
      <c r="C12" s="6">
        <v>799.25</v>
      </c>
      <c r="D12" s="6">
        <f t="shared" ref="D12:D20" si="0">C12-F12-E12</f>
        <v>0</v>
      </c>
      <c r="F12" s="6">
        <v>799.25</v>
      </c>
      <c r="G12" s="45">
        <f>(C12-(D12+E12))*G10</f>
        <v>239.77499999999998</v>
      </c>
      <c r="I12" s="84"/>
      <c r="J12" s="69" t="s">
        <v>89</v>
      </c>
      <c r="K12" s="14">
        <v>40821</v>
      </c>
      <c r="L12" s="6">
        <v>5360.55</v>
      </c>
      <c r="M12" s="6">
        <v>1608.16</v>
      </c>
      <c r="N12" s="6">
        <v>160.81</v>
      </c>
      <c r="O12" s="6">
        <f>(L12*70%)-N12</f>
        <v>3591.5749999999998</v>
      </c>
      <c r="P12" s="45">
        <f>(L12-(M12+N12))*P10</f>
        <v>1077.4739999999999</v>
      </c>
      <c r="R12" s="84"/>
      <c r="S12" s="72" t="s">
        <v>89</v>
      </c>
      <c r="T12" s="14">
        <v>40912</v>
      </c>
      <c r="U12" s="6">
        <v>4741.1000000000004</v>
      </c>
      <c r="V12" s="6">
        <v>1422.32</v>
      </c>
      <c r="W12" s="6">
        <v>142.22999999999999</v>
      </c>
      <c r="X12" s="6">
        <v>3176.55</v>
      </c>
      <c r="Y12" s="45">
        <f>(U12-(V12+W12))*Y10</f>
        <v>952.96500000000003</v>
      </c>
      <c r="AA12" s="84"/>
      <c r="AB12" s="69" t="s">
        <v>89</v>
      </c>
      <c r="AC12" s="14">
        <v>40996</v>
      </c>
      <c r="AD12" s="6">
        <v>9685.6299999999992</v>
      </c>
      <c r="AE12" s="6">
        <f t="shared" ref="AE12" si="1">AD12-AG12-AF12</f>
        <v>2905.6810999999989</v>
      </c>
      <c r="AF12" s="6">
        <f t="shared" ref="AF12:AF14" si="2">(AD12*0.3)*(0.1)</f>
        <v>290.56889999999999</v>
      </c>
      <c r="AG12" s="6">
        <v>6489.38</v>
      </c>
      <c r="AH12" s="45">
        <f>(AD12-(AE12+AF12))*AH10</f>
        <v>1946.8139999999999</v>
      </c>
    </row>
    <row r="13" spans="1:35" ht="13.15" x14ac:dyDescent="0.25">
      <c r="A13" s="72" t="s">
        <v>91</v>
      </c>
      <c r="B13" s="14">
        <v>40737</v>
      </c>
      <c r="C13" s="6">
        <v>2099.65</v>
      </c>
      <c r="D13" s="6">
        <f t="shared" si="0"/>
        <v>629.8805000000001</v>
      </c>
      <c r="E13" s="6">
        <f>(C13*0.3)*(0.1)</f>
        <v>62.9895</v>
      </c>
      <c r="F13" s="6">
        <v>1406.78</v>
      </c>
      <c r="G13" s="45">
        <f>(C13-(D13+E13))*G10</f>
        <v>422.03399999999999</v>
      </c>
      <c r="I13" s="84"/>
      <c r="J13" s="69" t="s">
        <v>91</v>
      </c>
      <c r="K13" s="14">
        <v>40828</v>
      </c>
      <c r="L13" s="6">
        <f>5297.1+87.7</f>
        <v>5384.8</v>
      </c>
      <c r="M13" s="6">
        <v>1611.04</v>
      </c>
      <c r="N13" s="6">
        <v>161.11000000000001</v>
      </c>
      <c r="O13" s="6">
        <v>3612.65</v>
      </c>
      <c r="P13" s="45">
        <f>(L13-(M13+N13))*P10</f>
        <v>1083.7950000000001</v>
      </c>
      <c r="R13" s="84"/>
      <c r="S13" s="72" t="s">
        <v>91</v>
      </c>
      <c r="T13" s="14">
        <v>40912</v>
      </c>
      <c r="U13" s="6">
        <v>2824.15</v>
      </c>
      <c r="V13" s="6">
        <v>847.24</v>
      </c>
      <c r="W13" s="6">
        <v>84.72</v>
      </c>
      <c r="X13" s="6">
        <v>1892.19</v>
      </c>
      <c r="Y13" s="45">
        <f>(U13-(V13+W13))*Y10</f>
        <v>567.65700000000004</v>
      </c>
      <c r="AA13" s="84"/>
      <c r="AB13" s="69" t="s">
        <v>91</v>
      </c>
      <c r="AC13" s="14">
        <v>41003</v>
      </c>
      <c r="AD13" s="6">
        <v>9818.15</v>
      </c>
      <c r="AE13" s="6">
        <v>2925.36</v>
      </c>
      <c r="AF13" s="6">
        <f t="shared" si="2"/>
        <v>294.54449999999997</v>
      </c>
      <c r="AG13" s="6">
        <v>6600.25</v>
      </c>
      <c r="AH13" s="45">
        <f>(AD13-(AE13+AF13))*AH10</f>
        <v>1979.4736499999997</v>
      </c>
    </row>
    <row r="14" spans="1:35" x14ac:dyDescent="0.2">
      <c r="A14" s="72" t="s">
        <v>92</v>
      </c>
      <c r="B14" s="14">
        <v>40744</v>
      </c>
      <c r="C14" s="6">
        <v>5147.2</v>
      </c>
      <c r="D14" s="6">
        <f t="shared" si="0"/>
        <v>1544.1539999999998</v>
      </c>
      <c r="E14" s="6">
        <f>(C14*0.3)*(0.1)</f>
        <v>154.416</v>
      </c>
      <c r="F14" s="6">
        <v>3448.63</v>
      </c>
      <c r="G14" s="45">
        <f>(C14-(D14+E14))*G10</f>
        <v>1034.5889999999999</v>
      </c>
      <c r="I14" s="84"/>
      <c r="J14" s="69" t="s">
        <v>92</v>
      </c>
      <c r="K14" s="14">
        <v>40835</v>
      </c>
      <c r="L14" s="6">
        <v>7454.55</v>
      </c>
      <c r="M14" s="6">
        <v>2242.36</v>
      </c>
      <c r="N14" s="6">
        <v>224.23</v>
      </c>
      <c r="O14" s="6">
        <v>5007.96</v>
      </c>
      <c r="P14" s="45">
        <f>(L14-(M14+N14))*P10</f>
        <v>1496.3879999999999</v>
      </c>
      <c r="R14" s="84"/>
      <c r="S14" s="72" t="s">
        <v>92</v>
      </c>
      <c r="T14" s="14">
        <v>40912</v>
      </c>
      <c r="U14" s="6">
        <v>858.75</v>
      </c>
      <c r="V14" s="6">
        <v>257.62</v>
      </c>
      <c r="W14" s="6">
        <f>(U14*0.3)*(0.1)</f>
        <v>25.762500000000003</v>
      </c>
      <c r="X14" s="6">
        <v>575.37</v>
      </c>
      <c r="Y14" s="45">
        <f>(U14-(V14+W14))*Y10</f>
        <v>172.61025000000001</v>
      </c>
      <c r="AA14" s="84"/>
      <c r="AB14" s="69" t="s">
        <v>92</v>
      </c>
      <c r="AC14" s="14">
        <v>41010</v>
      </c>
      <c r="AD14" s="6">
        <v>5393.15</v>
      </c>
      <c r="AE14" s="6">
        <v>1617.94</v>
      </c>
      <c r="AF14" s="6">
        <f t="shared" si="2"/>
        <v>161.7945</v>
      </c>
      <c r="AG14" s="6">
        <v>3613.42</v>
      </c>
      <c r="AH14" s="45">
        <f>(AD14-(AE14+AF14))*AH10</f>
        <v>1084.0246499999998</v>
      </c>
    </row>
    <row r="15" spans="1:35" x14ac:dyDescent="0.2">
      <c r="A15" s="72" t="s">
        <v>93</v>
      </c>
      <c r="B15" s="14">
        <v>40751</v>
      </c>
      <c r="C15" s="6">
        <v>4747.2</v>
      </c>
      <c r="D15" s="6">
        <f t="shared" si="0"/>
        <v>1424.1539999999998</v>
      </c>
      <c r="E15" s="6">
        <f>(C15*0.3)*(0.1)</f>
        <v>142.416</v>
      </c>
      <c r="F15" s="6">
        <v>3180.63</v>
      </c>
      <c r="G15" s="45">
        <f>(C15-(D15+E15))*G10</f>
        <v>954.18899999999996</v>
      </c>
      <c r="I15" s="84"/>
      <c r="J15" s="69" t="s">
        <v>93</v>
      </c>
      <c r="K15" s="14">
        <v>40842</v>
      </c>
      <c r="L15" s="6">
        <v>5529.25</v>
      </c>
      <c r="M15" s="6">
        <v>1658.77</v>
      </c>
      <c r="N15" s="6">
        <v>165.87</v>
      </c>
      <c r="O15" s="6">
        <v>3704.61</v>
      </c>
      <c r="P15" s="45">
        <f>(L15-(M15+N15))*P10</f>
        <v>1111.383</v>
      </c>
      <c r="R15" s="84"/>
      <c r="S15" s="72" t="s">
        <v>93</v>
      </c>
      <c r="T15" s="14">
        <v>40919</v>
      </c>
      <c r="U15" s="6">
        <v>3075.6</v>
      </c>
      <c r="V15" s="6">
        <f>U15-X15-W15</f>
        <v>922.67200000000003</v>
      </c>
      <c r="W15" s="6">
        <f>(U15*0.3)*(0.1)</f>
        <v>92.268000000000001</v>
      </c>
      <c r="X15" s="6">
        <v>2060.66</v>
      </c>
      <c r="Y15" s="45">
        <f>(U15-(V15+W15))*Y10</f>
        <v>618.19799999999998</v>
      </c>
      <c r="AA15" s="84"/>
      <c r="AB15" s="69" t="s">
        <v>93</v>
      </c>
      <c r="AC15" s="14">
        <v>41017</v>
      </c>
      <c r="AD15" s="6">
        <f>8293.45+178.9</f>
        <v>8472.35</v>
      </c>
      <c r="AE15" s="6">
        <v>2532.75</v>
      </c>
      <c r="AF15" s="6">
        <v>253.28</v>
      </c>
      <c r="AG15" s="6">
        <v>5686.32</v>
      </c>
      <c r="AH15" s="45">
        <f>(AD15-(AE15+AF15))*AH10</f>
        <v>1705.896</v>
      </c>
    </row>
    <row r="16" spans="1:35" x14ac:dyDescent="0.2">
      <c r="A16" s="72" t="s">
        <v>94</v>
      </c>
      <c r="B16" s="14">
        <v>40758</v>
      </c>
      <c r="C16" s="6">
        <v>4412.3999999999996</v>
      </c>
      <c r="D16" s="6">
        <f t="shared" si="0"/>
        <v>1323.7099999999996</v>
      </c>
      <c r="E16" s="6">
        <v>132.37</v>
      </c>
      <c r="F16" s="6">
        <v>2956.32</v>
      </c>
      <c r="G16" s="45">
        <f>(C16-(D16+E16))*G10</f>
        <v>886.89600000000007</v>
      </c>
      <c r="I16" s="84"/>
      <c r="J16" s="69" t="s">
        <v>94</v>
      </c>
      <c r="K16" s="14">
        <v>40849</v>
      </c>
      <c r="L16" s="6">
        <v>6601.05</v>
      </c>
      <c r="M16" s="6">
        <v>1980.31</v>
      </c>
      <c r="N16" s="6">
        <v>198.03</v>
      </c>
      <c r="O16" s="6">
        <v>4422.71</v>
      </c>
      <c r="P16" s="45">
        <f>(L16-(M16+N16))*P10</f>
        <v>1326.8129999999999</v>
      </c>
      <c r="R16" s="84"/>
      <c r="S16" s="72" t="s">
        <v>94</v>
      </c>
      <c r="T16" s="14">
        <v>40926</v>
      </c>
      <c r="U16" s="6">
        <v>8584.65</v>
      </c>
      <c r="V16" s="6">
        <f>U16-X16-W16</f>
        <v>2575.3805000000002</v>
      </c>
      <c r="W16" s="6">
        <f>(U16*0.3)*(0.1)</f>
        <v>257.53950000000003</v>
      </c>
      <c r="X16" s="6">
        <v>5751.73</v>
      </c>
      <c r="Y16" s="45">
        <f>(U16-(V16+W16))*Y10</f>
        <v>1725.5189999999998</v>
      </c>
      <c r="AA16" s="84"/>
      <c r="AB16" s="69" t="s">
        <v>94</v>
      </c>
      <c r="AC16" s="14">
        <v>41024</v>
      </c>
      <c r="AD16" s="6">
        <v>8235.5499999999993</v>
      </c>
      <c r="AE16" s="6">
        <v>2470.65</v>
      </c>
      <c r="AF16" s="6">
        <v>247.07</v>
      </c>
      <c r="AG16" s="6">
        <f>5517.83+600</f>
        <v>6117.83</v>
      </c>
      <c r="AH16" s="45">
        <f>(AD16-(AE16+AF16))*AH10</f>
        <v>1655.3489999999997</v>
      </c>
    </row>
    <row r="17" spans="1:34" x14ac:dyDescent="0.2">
      <c r="A17" s="72" t="s">
        <v>95</v>
      </c>
      <c r="B17" s="14">
        <v>40765</v>
      </c>
      <c r="C17" s="6">
        <v>5802.1</v>
      </c>
      <c r="D17" s="6">
        <f t="shared" si="0"/>
        <v>1740.6170000000002</v>
      </c>
      <c r="E17" s="6">
        <f>(C17*0.3)*(0.1)</f>
        <v>174.06300000000002</v>
      </c>
      <c r="F17" s="6">
        <v>3887.42</v>
      </c>
      <c r="G17" s="45">
        <f>(C17-(D17+E17))*G10</f>
        <v>1166.2259999999999</v>
      </c>
      <c r="I17" s="84"/>
      <c r="J17" s="69" t="s">
        <v>95</v>
      </c>
      <c r="K17" s="14">
        <v>40856</v>
      </c>
      <c r="L17" s="6">
        <v>6286.4</v>
      </c>
      <c r="M17" s="6">
        <v>1885.92</v>
      </c>
      <c r="N17" s="6">
        <v>188.58</v>
      </c>
      <c r="O17" s="6">
        <v>4211.8999999999996</v>
      </c>
      <c r="P17" s="45">
        <f>(L17-(M17+N17))*P10</f>
        <v>1263.57</v>
      </c>
      <c r="R17" s="84"/>
      <c r="S17" s="72" t="s">
        <v>95</v>
      </c>
      <c r="T17" s="14">
        <v>40933</v>
      </c>
      <c r="U17" s="6">
        <v>5035.8500000000004</v>
      </c>
      <c r="V17" s="6">
        <v>1510.75</v>
      </c>
      <c r="W17" s="6">
        <v>151.07</v>
      </c>
      <c r="X17" s="6">
        <v>3374.03</v>
      </c>
      <c r="Y17" s="45">
        <f>(U17-(V17+W17))*Y10</f>
        <v>1012.2090000000002</v>
      </c>
      <c r="AA17" s="84"/>
      <c r="AB17" s="69" t="s">
        <v>95</v>
      </c>
      <c r="AC17" s="14">
        <v>41031</v>
      </c>
      <c r="AD17" s="6">
        <f>7280.53+223</f>
        <v>7503.53</v>
      </c>
      <c r="AE17" s="6">
        <v>2239.9</v>
      </c>
      <c r="AF17" s="6">
        <v>223.99</v>
      </c>
      <c r="AG17" s="6">
        <v>5039.6400000000003</v>
      </c>
      <c r="AH17" s="45">
        <f>(AD17-(AE17+AF17))*AH10</f>
        <v>1511.8919999999998</v>
      </c>
    </row>
    <row r="18" spans="1:34" x14ac:dyDescent="0.2">
      <c r="A18" s="72" t="s">
        <v>96</v>
      </c>
      <c r="B18" s="14">
        <v>40772</v>
      </c>
      <c r="C18" s="6">
        <v>5136.3</v>
      </c>
      <c r="D18" s="6">
        <f t="shared" si="0"/>
        <v>1540.8900000000003</v>
      </c>
      <c r="E18" s="6">
        <v>154.08000000000001</v>
      </c>
      <c r="F18" s="6">
        <v>3441.33</v>
      </c>
      <c r="G18" s="45">
        <f>(C18-(D18+E18))*G10</f>
        <v>1032.3989999999999</v>
      </c>
      <c r="I18" s="84"/>
      <c r="J18" s="69" t="s">
        <v>96</v>
      </c>
      <c r="K18" s="14">
        <v>40863</v>
      </c>
      <c r="L18" s="6">
        <v>5396.25</v>
      </c>
      <c r="M18" s="6">
        <v>1618.87</v>
      </c>
      <c r="N18" s="6">
        <v>161.88</v>
      </c>
      <c r="O18" s="6">
        <v>3615.5</v>
      </c>
      <c r="P18" s="45">
        <f>(L18-(M18+N18))*P10</f>
        <v>1084.6499999999999</v>
      </c>
      <c r="R18" s="84"/>
      <c r="S18" s="72" t="s">
        <v>96</v>
      </c>
      <c r="T18" s="14">
        <v>40940</v>
      </c>
      <c r="U18" s="6">
        <v>4871.1000000000004</v>
      </c>
      <c r="V18" s="6">
        <v>1461.33</v>
      </c>
      <c r="W18" s="6">
        <v>146.12</v>
      </c>
      <c r="X18" s="6">
        <v>3263.65</v>
      </c>
      <c r="Y18" s="45">
        <f>(U18-(V18+W18))*Y10</f>
        <v>979.09500000000014</v>
      </c>
      <c r="AA18" s="84"/>
      <c r="AB18" s="69" t="s">
        <v>96</v>
      </c>
      <c r="AC18" s="14">
        <v>41038</v>
      </c>
      <c r="AD18" s="6">
        <f>11938.05+524.7</f>
        <v>12462.75</v>
      </c>
      <c r="AE18" s="6">
        <v>3712.58</v>
      </c>
      <c r="AF18" s="6">
        <v>371.26</v>
      </c>
      <c r="AG18" s="6">
        <v>8378.91</v>
      </c>
      <c r="AH18" s="45">
        <f>(AD18-(AE18+AF18))*AH10</f>
        <v>2513.6729999999998</v>
      </c>
    </row>
    <row r="19" spans="1:34" x14ac:dyDescent="0.2">
      <c r="A19" s="72" t="s">
        <v>97</v>
      </c>
      <c r="B19" s="14">
        <v>40779</v>
      </c>
      <c r="C19" s="6">
        <v>5755.5</v>
      </c>
      <c r="D19" s="6">
        <f t="shared" si="0"/>
        <v>1726.645</v>
      </c>
      <c r="E19" s="6">
        <f t="shared" ref="E19:E35" si="3">(C19*0.3)*(0.1)</f>
        <v>172.66499999999999</v>
      </c>
      <c r="F19" s="6">
        <v>3856.19</v>
      </c>
      <c r="G19" s="45">
        <f>(C19-(D19+E19))*G10</f>
        <v>1156.857</v>
      </c>
      <c r="I19" s="84"/>
      <c r="J19" s="69" t="s">
        <v>97</v>
      </c>
      <c r="K19" s="14">
        <v>40870</v>
      </c>
      <c r="L19" s="6">
        <v>6029.7</v>
      </c>
      <c r="M19" s="6">
        <v>1808.9</v>
      </c>
      <c r="N19" s="6">
        <v>180.89</v>
      </c>
      <c r="O19" s="6">
        <v>4039.91</v>
      </c>
      <c r="P19" s="45">
        <f>(L19-(M19+N19))*P10</f>
        <v>1211.973</v>
      </c>
      <c r="R19" s="84"/>
      <c r="S19" s="72" t="s">
        <v>97</v>
      </c>
      <c r="T19" s="14">
        <v>40947</v>
      </c>
      <c r="U19" s="6">
        <v>4752.95</v>
      </c>
      <c r="V19" s="6">
        <f>U19-X19-W19</f>
        <v>1425.8715</v>
      </c>
      <c r="W19" s="6">
        <f>(U19*0.3)*(0.1)</f>
        <v>142.58850000000001</v>
      </c>
      <c r="X19" s="6">
        <v>3184.49</v>
      </c>
      <c r="Y19" s="45">
        <f>(U19-(V19+W19))*Y10</f>
        <v>955.34699999999987</v>
      </c>
      <c r="AA19" s="84"/>
      <c r="AB19" s="69" t="s">
        <v>97</v>
      </c>
      <c r="AC19" s="14">
        <v>41045</v>
      </c>
      <c r="AD19" s="6">
        <f>8555.45+256.75</f>
        <v>8812.2000000000007</v>
      </c>
      <c r="AE19" s="6">
        <v>2630.81</v>
      </c>
      <c r="AF19" s="6">
        <v>263.08</v>
      </c>
      <c r="AG19" s="6">
        <v>5918.31</v>
      </c>
      <c r="AH19" s="45">
        <f>(AD19-(AE19+AF19))*AH10</f>
        <v>1775.4930000000004</v>
      </c>
    </row>
    <row r="20" spans="1:34" x14ac:dyDescent="0.2">
      <c r="A20" s="72" t="s">
        <v>98</v>
      </c>
      <c r="B20" s="14">
        <v>40786</v>
      </c>
      <c r="C20" s="6">
        <v>4323.7</v>
      </c>
      <c r="D20" s="6">
        <f t="shared" si="0"/>
        <v>1297.1099999999999</v>
      </c>
      <c r="E20" s="6">
        <v>129.69999999999999</v>
      </c>
      <c r="F20" s="6">
        <v>2896.89</v>
      </c>
      <c r="G20" s="45">
        <f>(C20-(D20+E20))*G10</f>
        <v>869.06699999999989</v>
      </c>
      <c r="I20" s="84"/>
      <c r="J20" s="69" t="s">
        <v>98</v>
      </c>
      <c r="K20" s="14">
        <v>40877</v>
      </c>
      <c r="L20" s="6">
        <v>9737.7999999999993</v>
      </c>
      <c r="M20" s="6">
        <f t="shared" ref="M20:M24" si="4">L20-O20-N20</f>
        <v>2921.329999999999</v>
      </c>
      <c r="N20" s="6">
        <v>292.13</v>
      </c>
      <c r="O20" s="6">
        <v>6524.34</v>
      </c>
      <c r="P20" s="45">
        <f>(L20-(M20+N20))*P10</f>
        <v>1957.3019999999999</v>
      </c>
      <c r="R20" s="84"/>
      <c r="S20" s="72" t="s">
        <v>98</v>
      </c>
      <c r="T20" s="14">
        <v>40954</v>
      </c>
      <c r="U20" s="6">
        <v>8641.01</v>
      </c>
      <c r="V20" s="6">
        <f>U20-X20-W20</f>
        <v>2592.2897000000003</v>
      </c>
      <c r="W20" s="6">
        <f>(U20*0.3)*(0.1)</f>
        <v>259.2303</v>
      </c>
      <c r="X20" s="6">
        <v>5789.49</v>
      </c>
      <c r="Y20" s="45">
        <f>(U20-(V20+W20))*Y10</f>
        <v>1736.847</v>
      </c>
      <c r="AA20" s="84"/>
      <c r="AB20" s="69" t="s">
        <v>98</v>
      </c>
      <c r="AC20" s="14">
        <v>41052</v>
      </c>
      <c r="AD20" s="6">
        <f>11770.21+178.5</f>
        <v>11948.71</v>
      </c>
      <c r="AE20" s="6">
        <v>3575.68</v>
      </c>
      <c r="AF20" s="6">
        <v>357.57</v>
      </c>
      <c r="AG20" s="225">
        <v>8015.46</v>
      </c>
      <c r="AH20" s="45">
        <f>(AD20-(AE20+AF20))*AH10</f>
        <v>2404.6379999999995</v>
      </c>
    </row>
    <row r="21" spans="1:34" x14ac:dyDescent="0.2">
      <c r="A21" s="72" t="s">
        <v>99</v>
      </c>
      <c r="B21" s="14">
        <v>40793</v>
      </c>
      <c r="C21" s="6">
        <v>6355.6</v>
      </c>
      <c r="D21" s="6">
        <v>1906.68</v>
      </c>
      <c r="E21" s="6">
        <v>190.66</v>
      </c>
      <c r="F21" s="6">
        <v>4258.26</v>
      </c>
      <c r="G21" s="45">
        <f>(C21-(D21+E21))*G10</f>
        <v>1277.4780000000001</v>
      </c>
      <c r="I21" s="84"/>
      <c r="J21" s="69" t="s">
        <v>99</v>
      </c>
      <c r="K21" s="14">
        <v>40884</v>
      </c>
      <c r="L21" s="6">
        <v>7453.65</v>
      </c>
      <c r="M21" s="6">
        <v>2236.08</v>
      </c>
      <c r="N21" s="6">
        <v>223.61</v>
      </c>
      <c r="O21" s="6">
        <v>4993.96</v>
      </c>
      <c r="P21" s="45">
        <f>(L21-(M21+N21))*P10</f>
        <v>1498.1879999999996</v>
      </c>
      <c r="R21" s="84"/>
      <c r="S21" s="72" t="s">
        <v>99</v>
      </c>
      <c r="T21" s="14">
        <v>40961</v>
      </c>
      <c r="U21" s="6">
        <v>6183.45</v>
      </c>
      <c r="V21" s="6">
        <v>1855.03</v>
      </c>
      <c r="W21" s="6">
        <v>185.5</v>
      </c>
      <c r="X21" s="6">
        <v>4142.92</v>
      </c>
      <c r="Y21" s="45">
        <f>(U21-(V21+W21))*Y10</f>
        <v>1242.876</v>
      </c>
      <c r="AA21" s="84"/>
      <c r="AB21" s="69" t="s">
        <v>99</v>
      </c>
      <c r="AC21" s="14">
        <v>41059</v>
      </c>
      <c r="AD21" s="6">
        <f>11968.73+167.3</f>
        <v>12136.029999999999</v>
      </c>
      <c r="AE21" s="6">
        <v>3632.44</v>
      </c>
      <c r="AF21" s="6">
        <v>363.24</v>
      </c>
      <c r="AG21" s="6">
        <v>8140.35</v>
      </c>
      <c r="AH21" s="45">
        <f>(AD21-(AE21+AF21))*AH10</f>
        <v>2442.1049999999996</v>
      </c>
    </row>
    <row r="22" spans="1:34" x14ac:dyDescent="0.2">
      <c r="A22" s="72" t="s">
        <v>100</v>
      </c>
      <c r="B22" s="14">
        <v>40800</v>
      </c>
      <c r="C22" s="6">
        <v>5487.05</v>
      </c>
      <c r="D22" s="6">
        <v>1646.11</v>
      </c>
      <c r="E22" s="6">
        <v>164.61</v>
      </c>
      <c r="F22" s="6">
        <v>3676.33</v>
      </c>
      <c r="G22" s="45">
        <f>(C22-(D22+E22))*G10</f>
        <v>1102.8990000000001</v>
      </c>
      <c r="I22" s="84"/>
      <c r="J22" s="69" t="s">
        <v>100</v>
      </c>
      <c r="K22" s="14">
        <v>40891</v>
      </c>
      <c r="L22" s="6">
        <v>7811.3</v>
      </c>
      <c r="M22" s="6">
        <v>2343.39</v>
      </c>
      <c r="N22" s="6">
        <v>234.33</v>
      </c>
      <c r="O22" s="6">
        <v>5233.58</v>
      </c>
      <c r="P22" s="45">
        <f>(L22-(M22+N22))*P10</f>
        <v>1570.0739999999998</v>
      </c>
      <c r="R22" s="84"/>
      <c r="S22" s="72" t="s">
        <v>100</v>
      </c>
      <c r="T22" s="14">
        <v>40968</v>
      </c>
      <c r="U22" s="6">
        <f>6542.23+246.15</f>
        <v>6788.3799999999992</v>
      </c>
      <c r="V22" s="6">
        <v>2024.2</v>
      </c>
      <c r="W22" s="6">
        <v>202.42</v>
      </c>
      <c r="X22" s="6">
        <v>4561.76</v>
      </c>
      <c r="Y22" s="45">
        <f>(U22-(V22+W22))*Y10</f>
        <v>1368.5279999999998</v>
      </c>
      <c r="AA22" s="84"/>
      <c r="AB22" s="69" t="s">
        <v>100</v>
      </c>
      <c r="AC22" s="14">
        <v>41066</v>
      </c>
      <c r="AD22" s="6">
        <f>7625.75+133.9</f>
        <v>7759.65</v>
      </c>
      <c r="AE22" s="6">
        <v>2321.19</v>
      </c>
      <c r="AF22" s="6">
        <v>232.12</v>
      </c>
      <c r="AG22" s="6">
        <v>5206.34</v>
      </c>
      <c r="AH22" s="45">
        <f>(AD22-(AE22+AF22))*AH10</f>
        <v>1561.902</v>
      </c>
    </row>
    <row r="23" spans="1:34" x14ac:dyDescent="0.2">
      <c r="A23" s="72" t="s">
        <v>101</v>
      </c>
      <c r="B23" s="14">
        <v>40807</v>
      </c>
      <c r="C23" s="6">
        <v>5152.6499999999996</v>
      </c>
      <c r="D23" s="6">
        <v>1545.79</v>
      </c>
      <c r="E23" s="6">
        <v>154.57</v>
      </c>
      <c r="F23" s="6">
        <v>3452.29</v>
      </c>
      <c r="G23" s="45">
        <f>(C23-(D23+E23))*G10</f>
        <v>1035.6869999999999</v>
      </c>
      <c r="I23" s="84"/>
      <c r="J23" s="69" t="s">
        <v>101</v>
      </c>
      <c r="K23" s="14">
        <v>40898</v>
      </c>
      <c r="L23" s="6">
        <v>8681.2000000000007</v>
      </c>
      <c r="M23" s="6">
        <v>2604.35</v>
      </c>
      <c r="N23" s="6">
        <v>260.44</v>
      </c>
      <c r="O23" s="6">
        <v>5816.41</v>
      </c>
      <c r="P23" s="45">
        <f>(L23-(M23+N23))*P10</f>
        <v>1744.9230000000002</v>
      </c>
      <c r="R23" s="84"/>
      <c r="S23" s="72" t="s">
        <v>101</v>
      </c>
      <c r="T23" s="14">
        <v>40975</v>
      </c>
      <c r="U23" s="6">
        <v>7707.2</v>
      </c>
      <c r="V23" s="6">
        <f t="shared" ref="V23:V25" si="5">U23-X23-W23</f>
        <v>2312.154</v>
      </c>
      <c r="W23" s="6">
        <f t="shared" ref="W23:W25" si="6">(U23*0.3)*(0.1)</f>
        <v>231.21600000000001</v>
      </c>
      <c r="X23" s="6">
        <v>5163.83</v>
      </c>
      <c r="Y23" s="45">
        <f>(U23-(V23+W23))*Y10</f>
        <v>1549.1489999999999</v>
      </c>
      <c r="AA23" s="84"/>
      <c r="AB23" s="69" t="s">
        <v>101</v>
      </c>
      <c r="AC23" s="14">
        <v>41073</v>
      </c>
      <c r="AD23" s="6">
        <f>9705.75+379.25</f>
        <v>10085</v>
      </c>
      <c r="AE23" s="6">
        <v>3006.53</v>
      </c>
      <c r="AF23" s="6">
        <v>300.64999999999998</v>
      </c>
      <c r="AG23" s="6">
        <v>6777.82</v>
      </c>
      <c r="AH23" s="45">
        <f>(AD23-(AE23+AF23))*AH10</f>
        <v>2033.3459999999998</v>
      </c>
    </row>
    <row r="24" spans="1:34" x14ac:dyDescent="0.2">
      <c r="A24" s="72" t="s">
        <v>102</v>
      </c>
      <c r="B24" s="14">
        <v>40814</v>
      </c>
      <c r="C24" s="6">
        <v>5290.7</v>
      </c>
      <c r="D24" s="6">
        <v>1587.2</v>
      </c>
      <c r="E24" s="6">
        <f t="shared" si="3"/>
        <v>158.721</v>
      </c>
      <c r="F24" s="6">
        <v>3544.78</v>
      </c>
      <c r="G24" s="45">
        <f>(C24-(D24+E24))*G10</f>
        <v>1063.4336999999998</v>
      </c>
      <c r="I24" s="84"/>
      <c r="J24" s="69" t="s">
        <v>102</v>
      </c>
      <c r="K24" s="14"/>
      <c r="L24" s="6"/>
      <c r="M24" s="6">
        <f t="shared" si="4"/>
        <v>0</v>
      </c>
      <c r="N24" s="6">
        <f t="shared" ref="N24:N35" si="7">(L24*0.3)*(0.1)</f>
        <v>0</v>
      </c>
      <c r="O24" s="6">
        <f t="shared" ref="O24:O35" si="8">(L24*70%)-N24</f>
        <v>0</v>
      </c>
      <c r="P24" s="45">
        <f>(L24-(M24+N24))*P10</f>
        <v>0</v>
      </c>
      <c r="R24" s="84"/>
      <c r="S24" s="72" t="s">
        <v>102</v>
      </c>
      <c r="T24" s="14">
        <v>40982</v>
      </c>
      <c r="U24" s="6">
        <v>9645.01</v>
      </c>
      <c r="V24" s="6">
        <f t="shared" si="5"/>
        <v>2893.4897000000001</v>
      </c>
      <c r="W24" s="6">
        <f t="shared" si="6"/>
        <v>289.3503</v>
      </c>
      <c r="X24" s="6">
        <v>6462.17</v>
      </c>
      <c r="Y24" s="45">
        <f>(U24-(V24+W24))*Y10</f>
        <v>1938.6509999999998</v>
      </c>
      <c r="AA24" s="84"/>
      <c r="AB24" s="69" t="s">
        <v>102</v>
      </c>
      <c r="AC24" s="14">
        <v>41080</v>
      </c>
      <c r="AD24" s="6">
        <f>8349.41+268.35</f>
        <v>8617.76</v>
      </c>
      <c r="AE24" s="6">
        <v>2571.9</v>
      </c>
      <c r="AF24" s="6">
        <v>257.19</v>
      </c>
      <c r="AG24" s="6">
        <v>7363.67</v>
      </c>
      <c r="AH24" s="45">
        <f>(AD24-(AE24+AF24))*AH10</f>
        <v>1736.6009999999999</v>
      </c>
    </row>
    <row r="25" spans="1:34" x14ac:dyDescent="0.2">
      <c r="D25" s="6">
        <f t="shared" ref="D25:D35" si="9">C25-F25-E25</f>
        <v>0</v>
      </c>
      <c r="E25" s="6">
        <f t="shared" si="3"/>
        <v>0</v>
      </c>
      <c r="G25" s="45">
        <f>(C25-(D25+E25))*G10</f>
        <v>0</v>
      </c>
      <c r="I25" s="84"/>
      <c r="J25" s="69"/>
      <c r="K25" s="14"/>
      <c r="L25" s="6"/>
      <c r="M25" s="6">
        <f t="shared" ref="M25:M35" si="10">L25-O25-N25</f>
        <v>0</v>
      </c>
      <c r="N25" s="6">
        <f t="shared" si="7"/>
        <v>0</v>
      </c>
      <c r="O25" s="6">
        <f t="shared" si="8"/>
        <v>0</v>
      </c>
      <c r="P25" s="45">
        <f>(L25-(M25+N25))*P10</f>
        <v>0</v>
      </c>
      <c r="R25" s="84"/>
      <c r="S25" s="72" t="s">
        <v>353</v>
      </c>
      <c r="T25" s="14">
        <v>40989</v>
      </c>
      <c r="U25" s="6">
        <v>10622.26</v>
      </c>
      <c r="V25" s="6">
        <f t="shared" si="5"/>
        <v>3186.6722</v>
      </c>
      <c r="W25" s="6">
        <f t="shared" si="6"/>
        <v>318.6678</v>
      </c>
      <c r="X25" s="6">
        <v>7116.92</v>
      </c>
      <c r="Y25" s="45">
        <f>(U25-(V25+W25))*Y10</f>
        <v>2135.076</v>
      </c>
      <c r="AA25" s="84"/>
      <c r="AB25" s="69"/>
      <c r="AC25" s="14">
        <v>41087</v>
      </c>
      <c r="AD25" s="6">
        <f>8727.2+557.3</f>
        <v>9284.5</v>
      </c>
      <c r="AE25" s="6">
        <v>2757.47</v>
      </c>
      <c r="AF25" s="6">
        <v>275.75</v>
      </c>
      <c r="AG25" s="6">
        <v>6251.28</v>
      </c>
      <c r="AH25" s="45">
        <f>(AD25-(AE25+AF25))*AH10</f>
        <v>1875.384</v>
      </c>
    </row>
    <row r="26" spans="1:34" x14ac:dyDescent="0.2">
      <c r="D26" s="6">
        <f t="shared" si="9"/>
        <v>0</v>
      </c>
      <c r="E26" s="6">
        <f t="shared" si="3"/>
        <v>0</v>
      </c>
      <c r="G26" s="45">
        <f>(C26-(D26+E26))*G10</f>
        <v>0</v>
      </c>
      <c r="I26" s="84"/>
      <c r="J26" s="69"/>
      <c r="K26" s="14"/>
      <c r="L26" s="6"/>
      <c r="M26" s="6">
        <f t="shared" si="10"/>
        <v>0</v>
      </c>
      <c r="N26" s="6">
        <f t="shared" si="7"/>
        <v>0</v>
      </c>
      <c r="O26" s="6">
        <f t="shared" si="8"/>
        <v>0</v>
      </c>
      <c r="P26" s="45">
        <f>(L26-(M26+N26))*P10</f>
        <v>0</v>
      </c>
      <c r="R26" s="84"/>
      <c r="T26" s="14"/>
      <c r="U26" s="6"/>
      <c r="V26" s="6"/>
      <c r="W26" s="6"/>
      <c r="X26" s="6"/>
      <c r="Y26" s="45"/>
      <c r="AA26" s="84"/>
      <c r="AB26" s="69"/>
      <c r="AC26" s="14"/>
      <c r="AD26" s="6"/>
      <c r="AE26" s="6"/>
      <c r="AF26" s="6"/>
      <c r="AG26" s="6"/>
      <c r="AH26" s="45"/>
    </row>
    <row r="27" spans="1:34" x14ac:dyDescent="0.2">
      <c r="D27" s="6">
        <f t="shared" si="9"/>
        <v>0</v>
      </c>
      <c r="E27" s="6">
        <f t="shared" si="3"/>
        <v>0</v>
      </c>
      <c r="G27" s="45">
        <f>(C27-(D27+E27))*G10</f>
        <v>0</v>
      </c>
      <c r="I27" s="84"/>
      <c r="J27" s="69"/>
      <c r="K27" s="14"/>
      <c r="L27" s="6"/>
      <c r="M27" s="6">
        <f t="shared" si="10"/>
        <v>0</v>
      </c>
      <c r="N27" s="6">
        <f t="shared" si="7"/>
        <v>0</v>
      </c>
      <c r="O27" s="6">
        <f t="shared" si="8"/>
        <v>0</v>
      </c>
      <c r="P27" s="45">
        <f>(L27-(M27+N27))*P10</f>
        <v>0</v>
      </c>
      <c r="R27" s="84"/>
      <c r="S27" s="84"/>
      <c r="T27" s="92"/>
      <c r="U27" s="93"/>
      <c r="V27" s="93"/>
      <c r="W27" s="93"/>
      <c r="X27" s="93"/>
      <c r="Y27" s="93"/>
      <c r="AA27" s="84"/>
      <c r="AB27" s="69"/>
      <c r="AC27" s="14"/>
      <c r="AD27" s="6"/>
      <c r="AE27" s="6"/>
      <c r="AF27" s="6"/>
      <c r="AG27" s="6"/>
      <c r="AH27" s="45"/>
    </row>
    <row r="28" spans="1:34" x14ac:dyDescent="0.2">
      <c r="D28" s="6">
        <f t="shared" si="9"/>
        <v>0</v>
      </c>
      <c r="E28" s="6">
        <f t="shared" si="3"/>
        <v>0</v>
      </c>
      <c r="G28" s="45">
        <f>(C28-(D28+E28))*G10</f>
        <v>0</v>
      </c>
      <c r="I28" s="84"/>
      <c r="J28" s="69"/>
      <c r="K28" s="14"/>
      <c r="L28" s="6"/>
      <c r="M28" s="6">
        <f t="shared" si="10"/>
        <v>0</v>
      </c>
      <c r="N28" s="6">
        <f t="shared" si="7"/>
        <v>0</v>
      </c>
      <c r="O28" s="6">
        <f t="shared" si="8"/>
        <v>0</v>
      </c>
      <c r="P28" s="45">
        <f>(L28-(M28+N28))*P10</f>
        <v>0</v>
      </c>
      <c r="R28" s="84"/>
      <c r="S28" s="233" t="s">
        <v>354</v>
      </c>
      <c r="T28" s="14">
        <v>40967</v>
      </c>
      <c r="U28" s="6">
        <v>40</v>
      </c>
      <c r="V28" s="6"/>
      <c r="W28" s="6"/>
      <c r="X28" s="6">
        <v>40</v>
      </c>
      <c r="Y28" s="45">
        <f>(U28-(V28+W28))*Y10</f>
        <v>12</v>
      </c>
      <c r="AA28" s="84"/>
      <c r="AB28" s="69" t="s">
        <v>358</v>
      </c>
      <c r="AC28" s="14">
        <v>41054</v>
      </c>
      <c r="AD28" s="6">
        <v>40</v>
      </c>
      <c r="AE28" s="6"/>
      <c r="AF28" s="6"/>
      <c r="AG28" s="6">
        <v>40</v>
      </c>
      <c r="AH28" s="45">
        <f>(AD28-(AE28+AF28))*AH10</f>
        <v>12</v>
      </c>
    </row>
    <row r="29" spans="1:34" x14ac:dyDescent="0.2">
      <c r="D29" s="6">
        <f t="shared" si="9"/>
        <v>0</v>
      </c>
      <c r="E29" s="6">
        <f t="shared" si="3"/>
        <v>0</v>
      </c>
      <c r="G29" s="45">
        <f>(C29-(D29+E29))*G10</f>
        <v>0</v>
      </c>
      <c r="I29" s="84"/>
      <c r="J29" s="69"/>
      <c r="K29" s="14"/>
      <c r="L29" s="6"/>
      <c r="M29" s="6">
        <f t="shared" si="10"/>
        <v>0</v>
      </c>
      <c r="N29" s="6">
        <f t="shared" si="7"/>
        <v>0</v>
      </c>
      <c r="O29" s="6">
        <f t="shared" si="8"/>
        <v>0</v>
      </c>
      <c r="P29" s="45">
        <f>(L29-(M29+N29))*P10</f>
        <v>0</v>
      </c>
      <c r="R29" s="84"/>
      <c r="S29" s="233"/>
      <c r="T29" s="14"/>
      <c r="U29" s="6"/>
      <c r="V29" s="6"/>
      <c r="W29" s="6"/>
      <c r="X29" s="6"/>
      <c r="Y29" s="45"/>
      <c r="AA29" s="84"/>
      <c r="AB29" s="69" t="s">
        <v>359</v>
      </c>
      <c r="AC29" s="14"/>
      <c r="AD29" s="6"/>
      <c r="AE29" s="6"/>
      <c r="AF29" s="6"/>
      <c r="AG29" s="6"/>
      <c r="AH29" s="45"/>
    </row>
    <row r="30" spans="1:34" x14ac:dyDescent="0.2">
      <c r="D30" s="6">
        <f t="shared" si="9"/>
        <v>0</v>
      </c>
      <c r="E30" s="6">
        <f t="shared" si="3"/>
        <v>0</v>
      </c>
      <c r="G30" s="45">
        <f>(C30-(D30+E30))*G10</f>
        <v>0</v>
      </c>
      <c r="I30" s="84"/>
      <c r="J30" s="69"/>
      <c r="K30" s="14"/>
      <c r="L30" s="6"/>
      <c r="M30" s="6">
        <f t="shared" si="10"/>
        <v>0</v>
      </c>
      <c r="N30" s="6">
        <f t="shared" si="7"/>
        <v>0</v>
      </c>
      <c r="O30" s="6">
        <f t="shared" si="8"/>
        <v>0</v>
      </c>
      <c r="P30" s="45">
        <f>(L30-(M30+N30))*P10</f>
        <v>0</v>
      </c>
      <c r="R30" s="84"/>
      <c r="T30" s="14"/>
      <c r="U30" s="6"/>
      <c r="V30" s="6"/>
      <c r="W30" s="6"/>
      <c r="X30" s="6"/>
      <c r="Y30" s="45"/>
      <c r="AA30" s="84"/>
      <c r="AB30" s="69"/>
      <c r="AC30" s="14"/>
      <c r="AD30" s="6"/>
      <c r="AE30" s="6"/>
      <c r="AF30" s="6"/>
      <c r="AG30" s="6"/>
      <c r="AH30" s="45"/>
    </row>
    <row r="31" spans="1:34" x14ac:dyDescent="0.2">
      <c r="D31" s="6">
        <f t="shared" si="9"/>
        <v>0</v>
      </c>
      <c r="E31" s="6">
        <f t="shared" si="3"/>
        <v>0</v>
      </c>
      <c r="G31" s="45">
        <f>(C31-(D31+E31))*G10</f>
        <v>0</v>
      </c>
      <c r="I31" s="84"/>
      <c r="J31" s="69"/>
      <c r="K31" s="14"/>
      <c r="L31" s="6"/>
      <c r="M31" s="6">
        <f t="shared" si="10"/>
        <v>0</v>
      </c>
      <c r="N31" s="6">
        <f t="shared" si="7"/>
        <v>0</v>
      </c>
      <c r="O31" s="6">
        <f t="shared" si="8"/>
        <v>0</v>
      </c>
      <c r="P31" s="45">
        <f>(L31-(M31+N31))*P10</f>
        <v>0</v>
      </c>
      <c r="R31" s="84"/>
      <c r="T31" s="14"/>
      <c r="U31" s="6"/>
      <c r="V31" s="6"/>
      <c r="W31" s="6"/>
      <c r="X31" s="6"/>
      <c r="Y31" s="45"/>
      <c r="AA31" s="84"/>
      <c r="AB31" s="69"/>
      <c r="AC31" s="14"/>
      <c r="AD31" s="6"/>
      <c r="AE31" s="6"/>
      <c r="AF31" s="6"/>
      <c r="AG31" s="6"/>
      <c r="AH31" s="45"/>
    </row>
    <row r="32" spans="1:34" x14ac:dyDescent="0.2">
      <c r="D32" s="6">
        <f t="shared" si="9"/>
        <v>0</v>
      </c>
      <c r="E32" s="6">
        <f t="shared" si="3"/>
        <v>0</v>
      </c>
      <c r="G32" s="45">
        <f>(C32-(D32+E32))*G10</f>
        <v>0</v>
      </c>
      <c r="I32" s="84"/>
      <c r="J32" s="69"/>
      <c r="K32" s="14"/>
      <c r="L32" s="6"/>
      <c r="M32" s="6">
        <f t="shared" si="10"/>
        <v>0</v>
      </c>
      <c r="N32" s="6">
        <f t="shared" si="7"/>
        <v>0</v>
      </c>
      <c r="O32" s="6">
        <f t="shared" si="8"/>
        <v>0</v>
      </c>
      <c r="P32" s="45">
        <f>(L32-(M32+N32))*P10</f>
        <v>0</v>
      </c>
      <c r="R32" s="84"/>
      <c r="S32" s="191" t="s">
        <v>355</v>
      </c>
      <c r="T32" s="14">
        <v>40974</v>
      </c>
      <c r="U32" s="6">
        <v>538.57000000000005</v>
      </c>
      <c r="V32" s="6"/>
      <c r="W32" s="6">
        <f>(U32*0.3)*(0.1)</f>
        <v>16.1571</v>
      </c>
      <c r="X32" s="6">
        <v>538.57000000000005</v>
      </c>
      <c r="Y32" s="45">
        <f>(U32-(V32+W32))*Y10</f>
        <v>156.72387000000001</v>
      </c>
      <c r="AA32" s="84"/>
      <c r="AB32" s="69"/>
      <c r="AC32" s="14"/>
      <c r="AD32" s="6"/>
      <c r="AE32" s="6"/>
      <c r="AF32" s="6"/>
      <c r="AG32" s="6"/>
      <c r="AH32" s="45"/>
    </row>
    <row r="33" spans="1:35" x14ac:dyDescent="0.2">
      <c r="D33" s="6">
        <f t="shared" si="9"/>
        <v>0</v>
      </c>
      <c r="E33" s="6">
        <f t="shared" si="3"/>
        <v>0</v>
      </c>
      <c r="G33" s="45">
        <f>(C33-(D33+E33))*G10</f>
        <v>0</v>
      </c>
      <c r="I33" s="84"/>
      <c r="J33" s="69"/>
      <c r="K33" s="14"/>
      <c r="L33" s="6"/>
      <c r="M33" s="6">
        <f t="shared" si="10"/>
        <v>0</v>
      </c>
      <c r="N33" s="6">
        <f t="shared" si="7"/>
        <v>0</v>
      </c>
      <c r="O33" s="6">
        <f t="shared" si="8"/>
        <v>0</v>
      </c>
      <c r="P33" s="45">
        <f>(L33-(M33+N33))*P10</f>
        <v>0</v>
      </c>
      <c r="R33" s="84"/>
      <c r="T33" s="14"/>
      <c r="U33" s="6"/>
      <c r="V33" s="6"/>
      <c r="W33" s="6"/>
      <c r="X33" s="6"/>
      <c r="Y33" s="45"/>
      <c r="AA33" s="84"/>
      <c r="AB33" s="69"/>
      <c r="AC33" s="14"/>
      <c r="AD33" s="6"/>
      <c r="AE33" s="6"/>
      <c r="AF33" s="6"/>
      <c r="AG33" s="6"/>
      <c r="AH33" s="45"/>
    </row>
    <row r="34" spans="1:35" x14ac:dyDescent="0.2">
      <c r="D34" s="6">
        <f t="shared" si="9"/>
        <v>0</v>
      </c>
      <c r="E34" s="6">
        <f t="shared" si="3"/>
        <v>0</v>
      </c>
      <c r="G34" s="45">
        <f>(C34-(D34+E34))*G10</f>
        <v>0</v>
      </c>
      <c r="I34" s="84"/>
      <c r="J34" s="69"/>
      <c r="K34" s="14"/>
      <c r="L34" s="6"/>
      <c r="M34" s="6">
        <f t="shared" si="10"/>
        <v>0</v>
      </c>
      <c r="N34" s="6">
        <f t="shared" si="7"/>
        <v>0</v>
      </c>
      <c r="O34" s="6">
        <f t="shared" si="8"/>
        <v>0</v>
      </c>
      <c r="P34" s="45">
        <f>(L34-(M34+N34))*P10</f>
        <v>0</v>
      </c>
      <c r="R34" s="84"/>
      <c r="T34" s="14"/>
      <c r="U34" s="6"/>
      <c r="V34" s="6"/>
      <c r="W34" s="6"/>
      <c r="X34" s="6"/>
      <c r="Y34" s="45"/>
      <c r="AA34" s="84"/>
      <c r="AB34" s="69"/>
      <c r="AC34" s="14"/>
      <c r="AD34" s="6"/>
      <c r="AE34" s="6"/>
      <c r="AF34" s="6"/>
      <c r="AG34" s="6"/>
      <c r="AH34" s="45"/>
    </row>
    <row r="35" spans="1:35" x14ac:dyDescent="0.2">
      <c r="D35" s="6">
        <f t="shared" si="9"/>
        <v>0</v>
      </c>
      <c r="E35" s="6">
        <f t="shared" si="3"/>
        <v>0</v>
      </c>
      <c r="G35" s="45">
        <f>(C35-(D35+E35))*G10</f>
        <v>0</v>
      </c>
      <c r="I35" s="84"/>
      <c r="J35" s="69"/>
      <c r="K35" s="14"/>
      <c r="L35" s="6"/>
      <c r="M35" s="6">
        <f t="shared" si="10"/>
        <v>0</v>
      </c>
      <c r="N35" s="6">
        <f t="shared" si="7"/>
        <v>0</v>
      </c>
      <c r="O35" s="6">
        <f t="shared" si="8"/>
        <v>0</v>
      </c>
      <c r="P35" s="45">
        <f>(L35-(M35+N35))*P10</f>
        <v>0</v>
      </c>
      <c r="R35" s="84"/>
      <c r="T35" s="14"/>
      <c r="U35" s="6"/>
      <c r="V35" s="6"/>
      <c r="W35" s="6"/>
      <c r="X35" s="6"/>
      <c r="Y35" s="45"/>
      <c r="AA35" s="84"/>
      <c r="AB35" s="69"/>
      <c r="AC35" s="14"/>
      <c r="AD35" s="6"/>
      <c r="AE35" s="6"/>
      <c r="AF35" s="6"/>
      <c r="AG35" s="6"/>
      <c r="AH35" s="45"/>
    </row>
    <row r="36" spans="1:35" s="117" customFormat="1" ht="7.15" customHeight="1" x14ac:dyDescent="0.2">
      <c r="A36" s="84"/>
      <c r="B36" s="92"/>
      <c r="C36" s="93"/>
      <c r="D36" s="93"/>
      <c r="E36" s="93"/>
      <c r="F36" s="93"/>
      <c r="G36" s="93"/>
      <c r="H36" s="84"/>
      <c r="I36" s="84"/>
      <c r="J36" s="92"/>
      <c r="K36" s="93"/>
      <c r="L36" s="93"/>
      <c r="M36" s="93"/>
      <c r="N36" s="93"/>
      <c r="O36" s="93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</row>
    <row r="37" spans="1:35" ht="51" x14ac:dyDescent="0.2">
      <c r="A37" s="39" t="s">
        <v>114</v>
      </c>
      <c r="G37" s="6"/>
      <c r="I37" s="84"/>
      <c r="J37" s="39" t="s">
        <v>114</v>
      </c>
      <c r="K37" s="14"/>
      <c r="L37" s="6"/>
      <c r="M37" s="6"/>
      <c r="N37" s="6"/>
      <c r="O37" s="6"/>
      <c r="P37" s="6"/>
      <c r="R37" s="84"/>
      <c r="S37" s="39" t="s">
        <v>114</v>
      </c>
      <c r="T37" s="14"/>
      <c r="U37" s="6"/>
      <c r="V37" s="6"/>
      <c r="W37" s="6"/>
      <c r="X37" s="6"/>
      <c r="Y37" s="6"/>
      <c r="AA37" s="84"/>
      <c r="AB37" s="39" t="s">
        <v>114</v>
      </c>
      <c r="AC37" s="14"/>
      <c r="AD37" s="6"/>
      <c r="AE37" s="6"/>
      <c r="AF37" s="6"/>
      <c r="AG37" s="6"/>
      <c r="AH37" s="6"/>
    </row>
    <row r="38" spans="1:35" x14ac:dyDescent="0.2">
      <c r="G38" s="6"/>
      <c r="I38" s="84"/>
      <c r="K38" s="14"/>
      <c r="L38" s="6"/>
      <c r="M38" s="6"/>
      <c r="N38" s="6"/>
      <c r="O38" s="6"/>
      <c r="P38" s="6"/>
      <c r="R38" s="84"/>
      <c r="T38" s="14"/>
      <c r="U38" s="6"/>
      <c r="V38" s="6"/>
      <c r="W38" s="6"/>
      <c r="X38" s="6"/>
      <c r="Y38" s="6"/>
      <c r="AA38" s="84"/>
      <c r="AC38" s="14"/>
      <c r="AD38" s="6"/>
      <c r="AE38" s="6"/>
      <c r="AF38" s="6"/>
      <c r="AG38" s="6"/>
      <c r="AH38" s="6"/>
    </row>
    <row r="39" spans="1:35" ht="38.25" x14ac:dyDescent="0.2">
      <c r="B39" s="94" t="s">
        <v>2</v>
      </c>
      <c r="C39" s="35" t="s">
        <v>116</v>
      </c>
      <c r="D39" s="122" t="s">
        <v>211</v>
      </c>
      <c r="E39" s="6" t="s">
        <v>212</v>
      </c>
      <c r="G39" s="6"/>
      <c r="I39" s="84"/>
      <c r="K39" s="94" t="s">
        <v>2</v>
      </c>
      <c r="L39" s="35" t="s">
        <v>116</v>
      </c>
      <c r="M39" s="122" t="s">
        <v>211</v>
      </c>
      <c r="N39" s="6" t="s">
        <v>212</v>
      </c>
      <c r="O39" s="6"/>
      <c r="P39" s="6"/>
      <c r="R39" s="84"/>
      <c r="T39" s="94" t="s">
        <v>2</v>
      </c>
      <c r="U39" s="122" t="s">
        <v>311</v>
      </c>
      <c r="V39" s="122" t="s">
        <v>312</v>
      </c>
      <c r="W39" s="6" t="s">
        <v>310</v>
      </c>
      <c r="X39" s="6"/>
      <c r="Y39" s="6"/>
      <c r="AA39" s="84"/>
      <c r="AC39" s="94" t="s">
        <v>2</v>
      </c>
      <c r="AD39" s="35" t="s">
        <v>116</v>
      </c>
      <c r="AE39" s="122" t="s">
        <v>211</v>
      </c>
      <c r="AF39" s="6" t="s">
        <v>212</v>
      </c>
      <c r="AG39" s="6"/>
      <c r="AH39" s="6"/>
    </row>
    <row r="40" spans="1:35" x14ac:dyDescent="0.2">
      <c r="B40" s="14">
        <v>40807</v>
      </c>
      <c r="C40" s="6">
        <f>SUM(D40:E40)</f>
        <v>5137.2199999999993</v>
      </c>
      <c r="D40" s="6">
        <f>457.08+9.94</f>
        <v>467.02</v>
      </c>
      <c r="E40" s="6">
        <v>4670.2</v>
      </c>
      <c r="G40" s="6"/>
      <c r="I40" s="84"/>
      <c r="K40" s="14">
        <v>40835</v>
      </c>
      <c r="L40" s="6">
        <v>178.9</v>
      </c>
      <c r="M40" s="6">
        <v>0</v>
      </c>
      <c r="N40" s="6">
        <f>L40-M40</f>
        <v>178.9</v>
      </c>
      <c r="O40" s="130" t="s">
        <v>235</v>
      </c>
      <c r="P40" s="130"/>
      <c r="R40" s="84"/>
      <c r="T40" s="14">
        <v>40933</v>
      </c>
      <c r="U40" s="6">
        <f>12800.1</f>
        <v>12800.1</v>
      </c>
      <c r="V40" s="6">
        <f>1118.68+161.33</f>
        <v>1280.01</v>
      </c>
      <c r="W40" s="6">
        <v>14080.11</v>
      </c>
      <c r="X40" s="6"/>
      <c r="Y40" s="6"/>
      <c r="AA40" s="84"/>
      <c r="AC40" s="14">
        <v>41054</v>
      </c>
      <c r="AD40" s="6">
        <v>0</v>
      </c>
      <c r="AE40" s="6"/>
      <c r="AF40" s="6">
        <f t="shared" ref="AF40:AF48" si="11">AD40-AE40</f>
        <v>0</v>
      </c>
      <c r="AG40" s="6"/>
      <c r="AH40" s="6"/>
    </row>
    <row r="41" spans="1:35" x14ac:dyDescent="0.2">
      <c r="G41" s="6"/>
      <c r="I41" s="84"/>
      <c r="K41" s="14">
        <v>40842</v>
      </c>
      <c r="L41" s="6">
        <v>3892.35</v>
      </c>
      <c r="M41" s="6">
        <v>353.85</v>
      </c>
      <c r="N41" s="6">
        <v>3538.5</v>
      </c>
      <c r="O41" s="6"/>
      <c r="P41" s="6"/>
      <c r="R41" s="84"/>
      <c r="T41" s="14">
        <v>40991</v>
      </c>
      <c r="U41" s="6">
        <f>2984.4+439.9+12134.1</f>
        <v>15558.400000000001</v>
      </c>
      <c r="V41" s="6">
        <f>342.43+1213.41</f>
        <v>1555.8400000000001</v>
      </c>
      <c r="W41" s="6">
        <f>U41+V41</f>
        <v>17114.240000000002</v>
      </c>
      <c r="X41" s="6"/>
      <c r="Y41" s="6"/>
      <c r="AA41" s="84"/>
      <c r="AC41" s="14"/>
      <c r="AD41" s="6"/>
      <c r="AE41" s="6"/>
      <c r="AF41" s="6">
        <f t="shared" si="11"/>
        <v>0</v>
      </c>
      <c r="AG41" s="6"/>
      <c r="AH41" s="6"/>
    </row>
    <row r="42" spans="1:35" x14ac:dyDescent="0.2">
      <c r="G42" s="6"/>
      <c r="I42" s="84"/>
      <c r="K42" s="14">
        <v>40856</v>
      </c>
      <c r="L42" s="6">
        <v>89.1</v>
      </c>
      <c r="M42" s="6">
        <v>0</v>
      </c>
      <c r="N42" s="6">
        <f>L42-M42</f>
        <v>89.1</v>
      </c>
      <c r="O42" s="130" t="s">
        <v>235</v>
      </c>
      <c r="P42" s="6"/>
      <c r="R42" s="84"/>
      <c r="T42" s="14"/>
      <c r="U42" s="6"/>
      <c r="V42" s="6"/>
      <c r="W42" s="6"/>
      <c r="X42" s="6"/>
      <c r="Y42" s="6"/>
      <c r="AA42" s="84"/>
      <c r="AC42" s="14"/>
      <c r="AD42" s="6"/>
      <c r="AE42" s="6"/>
      <c r="AF42" s="6">
        <f t="shared" si="11"/>
        <v>0</v>
      </c>
      <c r="AG42" s="6"/>
      <c r="AH42" s="6"/>
    </row>
    <row r="43" spans="1:35" x14ac:dyDescent="0.2">
      <c r="C43" s="121"/>
      <c r="G43" s="6"/>
      <c r="I43" s="84"/>
      <c r="K43" s="14">
        <v>40864</v>
      </c>
      <c r="L43" s="6">
        <f>M43+N43</f>
        <v>12300.09</v>
      </c>
      <c r="M43" s="6">
        <v>1118.19</v>
      </c>
      <c r="N43" s="6">
        <v>11181.9</v>
      </c>
      <c r="O43" s="6"/>
      <c r="P43" s="6"/>
      <c r="R43" s="84"/>
      <c r="T43" s="14"/>
      <c r="X43" s="6"/>
      <c r="Y43" s="6"/>
      <c r="AA43" s="84"/>
      <c r="AC43" s="14"/>
      <c r="AD43" s="6"/>
      <c r="AE43" s="6"/>
      <c r="AF43" s="6">
        <f t="shared" si="11"/>
        <v>0</v>
      </c>
      <c r="AG43" s="6"/>
      <c r="AH43" s="6"/>
    </row>
    <row r="44" spans="1:35" x14ac:dyDescent="0.2">
      <c r="G44" s="6"/>
      <c r="I44" s="84"/>
      <c r="K44" s="14">
        <v>40870</v>
      </c>
      <c r="L44" s="6">
        <v>267.3</v>
      </c>
      <c r="M44" s="6">
        <v>0</v>
      </c>
      <c r="N44" s="6">
        <f t="shared" ref="N44:N49" si="12">L44-M44</f>
        <v>267.3</v>
      </c>
      <c r="O44" s="130" t="s">
        <v>235</v>
      </c>
      <c r="P44" s="6"/>
      <c r="R44" s="84"/>
      <c r="T44" s="14"/>
      <c r="U44" s="6"/>
      <c r="V44" s="6"/>
      <c r="W44" s="6"/>
      <c r="X44" s="6"/>
      <c r="Y44" s="6"/>
      <c r="AA44" s="84"/>
      <c r="AC44" s="14"/>
      <c r="AD44" s="6"/>
      <c r="AE44" s="6"/>
      <c r="AF44" s="6">
        <f t="shared" si="11"/>
        <v>0</v>
      </c>
      <c r="AG44" s="6"/>
      <c r="AH44" s="6"/>
    </row>
    <row r="45" spans="1:35" x14ac:dyDescent="0.2">
      <c r="G45" s="6"/>
      <c r="I45" s="84"/>
      <c r="K45" s="14">
        <v>40877</v>
      </c>
      <c r="L45" s="6">
        <v>44.55</v>
      </c>
      <c r="M45" s="6">
        <v>0</v>
      </c>
      <c r="N45" s="6">
        <f t="shared" si="12"/>
        <v>44.55</v>
      </c>
      <c r="O45" s="130" t="s">
        <v>235</v>
      </c>
      <c r="P45" s="6"/>
      <c r="R45" s="84"/>
      <c r="T45" s="14"/>
      <c r="U45" s="6"/>
      <c r="V45" s="6"/>
      <c r="W45" s="6"/>
      <c r="X45" s="6"/>
      <c r="Y45" s="6"/>
      <c r="AA45" s="84"/>
      <c r="AC45" s="14"/>
      <c r="AD45" s="6"/>
      <c r="AE45" s="6"/>
      <c r="AF45" s="6">
        <f t="shared" si="11"/>
        <v>0</v>
      </c>
      <c r="AG45" s="6"/>
      <c r="AH45" s="6"/>
    </row>
    <row r="46" spans="1:35" x14ac:dyDescent="0.2">
      <c r="G46" s="6"/>
      <c r="I46" s="84"/>
      <c r="K46" s="14">
        <v>40891</v>
      </c>
      <c r="L46" s="6">
        <v>793.6</v>
      </c>
      <c r="M46" s="6">
        <v>0</v>
      </c>
      <c r="N46" s="6">
        <f t="shared" si="12"/>
        <v>793.6</v>
      </c>
      <c r="O46" s="130" t="s">
        <v>235</v>
      </c>
      <c r="P46" s="6"/>
      <c r="R46" s="84"/>
      <c r="T46" s="14"/>
      <c r="U46" s="6"/>
      <c r="V46" s="6"/>
      <c r="W46" s="6"/>
      <c r="X46" s="6"/>
      <c r="Y46" s="6"/>
      <c r="AA46" s="84"/>
      <c r="AC46" s="14"/>
      <c r="AD46" s="6"/>
      <c r="AE46" s="6"/>
      <c r="AF46" s="6">
        <f t="shared" si="11"/>
        <v>0</v>
      </c>
      <c r="AG46" s="6"/>
      <c r="AH46" s="6"/>
    </row>
    <row r="47" spans="1:35" x14ac:dyDescent="0.2">
      <c r="G47" s="6"/>
      <c r="I47" s="84"/>
      <c r="K47" s="14"/>
      <c r="L47" s="6"/>
      <c r="M47" s="6"/>
      <c r="N47" s="6">
        <f t="shared" si="12"/>
        <v>0</v>
      </c>
      <c r="O47" s="6"/>
      <c r="P47" s="6"/>
      <c r="R47" s="84"/>
      <c r="T47" s="14"/>
      <c r="U47" s="6"/>
      <c r="V47" s="6"/>
      <c r="W47" s="6"/>
      <c r="X47" s="6"/>
      <c r="Y47" s="6"/>
      <c r="AA47" s="84"/>
      <c r="AC47" s="14"/>
      <c r="AD47" s="6"/>
      <c r="AE47" s="6"/>
      <c r="AF47" s="6">
        <f t="shared" si="11"/>
        <v>0</v>
      </c>
      <c r="AG47" s="6"/>
      <c r="AH47" s="6"/>
    </row>
    <row r="48" spans="1:35" x14ac:dyDescent="0.2">
      <c r="G48" s="6"/>
      <c r="K48" s="14"/>
      <c r="L48" s="6"/>
      <c r="M48" s="6"/>
      <c r="N48" s="6">
        <f t="shared" si="12"/>
        <v>0</v>
      </c>
      <c r="O48" s="6"/>
      <c r="P48" s="6"/>
      <c r="T48" s="14"/>
      <c r="U48" s="6"/>
      <c r="V48" s="6"/>
      <c r="W48" s="6"/>
      <c r="X48" s="6"/>
      <c r="Y48" s="6"/>
      <c r="AA48" s="84"/>
      <c r="AC48" s="14"/>
      <c r="AD48" s="6"/>
      <c r="AE48" s="6"/>
      <c r="AF48" s="6">
        <f t="shared" si="11"/>
        <v>0</v>
      </c>
      <c r="AG48" s="6"/>
      <c r="AH48" s="6"/>
    </row>
    <row r="49" spans="7:18" x14ac:dyDescent="0.2">
      <c r="G49" s="6"/>
      <c r="J49" s="92"/>
      <c r="K49" s="93"/>
      <c r="L49" s="93"/>
      <c r="M49" s="93"/>
      <c r="N49" s="93">
        <f t="shared" si="12"/>
        <v>0</v>
      </c>
      <c r="O49" s="93"/>
      <c r="P49" s="84"/>
      <c r="Q49" s="84"/>
      <c r="R49" s="84"/>
    </row>
    <row r="50" spans="7:18" x14ac:dyDescent="0.2">
      <c r="G50" s="6"/>
      <c r="J50" s="14"/>
      <c r="K50" s="14">
        <v>40862</v>
      </c>
      <c r="L50" s="6">
        <v>6000</v>
      </c>
      <c r="M50" s="232" t="s">
        <v>253</v>
      </c>
      <c r="N50" s="232"/>
      <c r="O50" s="6"/>
    </row>
    <row r="51" spans="7:18" x14ac:dyDescent="0.2">
      <c r="G51" s="6"/>
      <c r="J51" s="14"/>
      <c r="K51" s="6"/>
      <c r="L51" s="6"/>
      <c r="M51" s="6"/>
      <c r="N51" s="6"/>
      <c r="O51" s="6"/>
    </row>
    <row r="52" spans="7:18" x14ac:dyDescent="0.2">
      <c r="G52" s="6"/>
      <c r="J52" s="14"/>
      <c r="K52" s="6"/>
      <c r="L52" s="6"/>
      <c r="M52" s="6"/>
      <c r="N52" s="6"/>
      <c r="O52" s="6"/>
    </row>
    <row r="53" spans="7:18" x14ac:dyDescent="0.2">
      <c r="G53" s="6"/>
      <c r="J53" s="14"/>
      <c r="K53" s="6"/>
      <c r="L53" s="6"/>
      <c r="M53" s="6"/>
      <c r="N53" s="6"/>
      <c r="O53" s="6"/>
    </row>
    <row r="54" spans="7:18" x14ac:dyDescent="0.2">
      <c r="G54" s="6"/>
      <c r="J54" s="14"/>
      <c r="K54" s="6"/>
      <c r="L54" s="6"/>
      <c r="M54" s="6"/>
      <c r="N54" s="6"/>
      <c r="O54" s="6"/>
    </row>
    <row r="55" spans="7:18" x14ac:dyDescent="0.2">
      <c r="G55" s="6"/>
      <c r="J55" s="14"/>
      <c r="K55" s="6"/>
      <c r="L55" s="6"/>
      <c r="M55" s="6"/>
      <c r="N55" s="6"/>
      <c r="O55" s="6"/>
    </row>
    <row r="56" spans="7:18" x14ac:dyDescent="0.2">
      <c r="G56" s="6"/>
      <c r="J56" s="14"/>
      <c r="K56" s="6"/>
      <c r="L56" s="6"/>
      <c r="M56" s="6"/>
      <c r="N56" s="6"/>
      <c r="O56" s="6"/>
    </row>
    <row r="57" spans="7:18" x14ac:dyDescent="0.2">
      <c r="G57" s="6"/>
      <c r="J57" s="14"/>
      <c r="K57" s="6"/>
      <c r="L57" s="6"/>
      <c r="M57" s="6"/>
      <c r="N57" s="6"/>
      <c r="O57" s="6"/>
    </row>
    <row r="58" spans="7:18" x14ac:dyDescent="0.2">
      <c r="G58" s="6"/>
      <c r="J58" s="14"/>
      <c r="K58" s="6"/>
      <c r="L58" s="6"/>
      <c r="M58" s="6"/>
      <c r="N58" s="6"/>
      <c r="O58" s="6"/>
    </row>
    <row r="59" spans="7:18" x14ac:dyDescent="0.2">
      <c r="G59" s="6"/>
      <c r="J59" s="14"/>
      <c r="K59" s="6"/>
      <c r="L59" s="6"/>
      <c r="M59" s="6"/>
      <c r="N59" s="6"/>
      <c r="O59" s="6"/>
    </row>
    <row r="60" spans="7:18" x14ac:dyDescent="0.2">
      <c r="G60" s="6"/>
      <c r="J60" s="14"/>
      <c r="K60" s="6"/>
      <c r="L60" s="6"/>
      <c r="M60" s="6"/>
      <c r="N60" s="6"/>
      <c r="O60" s="6"/>
    </row>
    <row r="61" spans="7:18" x14ac:dyDescent="0.2">
      <c r="G61" s="6"/>
      <c r="J61" s="14"/>
      <c r="K61" s="6"/>
      <c r="L61" s="6"/>
      <c r="M61" s="6"/>
      <c r="N61" s="6"/>
      <c r="O61" s="6"/>
    </row>
    <row r="62" spans="7:18" x14ac:dyDescent="0.2">
      <c r="G62" s="6"/>
      <c r="J62" s="14"/>
      <c r="K62" s="6"/>
      <c r="L62" s="6"/>
      <c r="M62" s="6"/>
      <c r="N62" s="6"/>
      <c r="O62" s="6"/>
    </row>
    <row r="63" spans="7:18" x14ac:dyDescent="0.2">
      <c r="G63" s="6"/>
      <c r="J63" s="14"/>
      <c r="K63" s="6"/>
      <c r="L63" s="6"/>
      <c r="M63" s="6"/>
      <c r="N63" s="6"/>
      <c r="O63" s="6"/>
    </row>
    <row r="64" spans="7:18" x14ac:dyDescent="0.2">
      <c r="G64" s="6"/>
      <c r="J64" s="14"/>
      <c r="K64" s="6"/>
      <c r="L64" s="6"/>
      <c r="M64" s="6"/>
      <c r="N64" s="6"/>
      <c r="O64" s="6"/>
    </row>
    <row r="65" spans="7:15" x14ac:dyDescent="0.2">
      <c r="G65" s="6"/>
      <c r="J65" s="14"/>
      <c r="K65" s="6"/>
      <c r="L65" s="6"/>
      <c r="M65" s="6"/>
      <c r="N65" s="6"/>
      <c r="O65" s="6"/>
    </row>
    <row r="66" spans="7:15" x14ac:dyDescent="0.2">
      <c r="G66" s="6"/>
      <c r="J66" s="14"/>
      <c r="K66" s="6"/>
      <c r="L66" s="6"/>
      <c r="M66" s="6"/>
      <c r="N66" s="6"/>
      <c r="O66" s="6"/>
    </row>
    <row r="67" spans="7:15" x14ac:dyDescent="0.2">
      <c r="G67" s="6"/>
      <c r="J67" s="14"/>
      <c r="K67" s="6"/>
      <c r="L67" s="6"/>
      <c r="M67" s="6"/>
      <c r="N67" s="6"/>
      <c r="O67" s="6"/>
    </row>
    <row r="68" spans="7:15" x14ac:dyDescent="0.2">
      <c r="G68" s="6"/>
      <c r="J68" s="14"/>
      <c r="K68" s="6"/>
      <c r="L68" s="6"/>
      <c r="M68" s="6"/>
      <c r="N68" s="6"/>
      <c r="O68" s="6"/>
    </row>
    <row r="69" spans="7:15" x14ac:dyDescent="0.2">
      <c r="G69" s="6"/>
      <c r="J69" s="14"/>
      <c r="K69" s="6"/>
      <c r="L69" s="6"/>
      <c r="M69" s="6"/>
      <c r="N69" s="6"/>
      <c r="O69" s="6"/>
    </row>
    <row r="70" spans="7:15" x14ac:dyDescent="0.2">
      <c r="G70" s="6"/>
      <c r="J70" s="14"/>
      <c r="K70" s="6"/>
      <c r="L70" s="6"/>
      <c r="M70" s="6"/>
      <c r="N70" s="6"/>
      <c r="O70" s="6"/>
    </row>
    <row r="71" spans="7:15" x14ac:dyDescent="0.2">
      <c r="G71" s="6"/>
      <c r="J71" s="14"/>
      <c r="K71" s="6"/>
      <c r="L71" s="6"/>
      <c r="M71" s="6"/>
      <c r="N71" s="6"/>
      <c r="O71" s="6"/>
    </row>
    <row r="72" spans="7:15" x14ac:dyDescent="0.2">
      <c r="G72" s="6"/>
      <c r="J72" s="14"/>
      <c r="K72" s="6"/>
      <c r="L72" s="6"/>
      <c r="M72" s="6"/>
      <c r="N72" s="6"/>
      <c r="O72" s="6"/>
    </row>
    <row r="73" spans="7:15" x14ac:dyDescent="0.2">
      <c r="G73" s="6"/>
      <c r="J73" s="14"/>
      <c r="K73" s="6"/>
      <c r="L73" s="6"/>
      <c r="M73" s="6"/>
      <c r="N73" s="6"/>
      <c r="O73" s="6"/>
    </row>
    <row r="74" spans="7:15" x14ac:dyDescent="0.2">
      <c r="G74" s="6"/>
      <c r="J74" s="14"/>
      <c r="K74" s="6"/>
      <c r="L74" s="6"/>
      <c r="M74" s="6"/>
      <c r="N74" s="6"/>
      <c r="O74" s="6"/>
    </row>
    <row r="75" spans="7:15" x14ac:dyDescent="0.2">
      <c r="G75" s="6"/>
      <c r="J75" s="14"/>
      <c r="K75" s="6"/>
      <c r="L75" s="6"/>
      <c r="M75" s="6"/>
      <c r="N75" s="6"/>
      <c r="O75" s="6"/>
    </row>
    <row r="76" spans="7:15" x14ac:dyDescent="0.2">
      <c r="G76" s="6"/>
      <c r="J76" s="14"/>
      <c r="K76" s="6"/>
      <c r="L76" s="6"/>
      <c r="M76" s="6"/>
      <c r="N76" s="6"/>
      <c r="O76" s="6"/>
    </row>
    <row r="77" spans="7:15" x14ac:dyDescent="0.2">
      <c r="G77" s="6"/>
      <c r="J77" s="14"/>
      <c r="K77" s="6"/>
      <c r="L77" s="6"/>
      <c r="M77" s="6"/>
      <c r="N77" s="6"/>
      <c r="O77" s="6"/>
    </row>
    <row r="78" spans="7:15" x14ac:dyDescent="0.2">
      <c r="G78" s="6"/>
      <c r="J78" s="14"/>
      <c r="K78" s="6"/>
      <c r="L78" s="6"/>
      <c r="M78" s="6"/>
      <c r="N78" s="6"/>
      <c r="O78" s="6"/>
    </row>
    <row r="79" spans="7:15" x14ac:dyDescent="0.2">
      <c r="G79" s="6"/>
      <c r="J79" s="14"/>
      <c r="K79" s="6"/>
      <c r="L79" s="6"/>
      <c r="M79" s="6"/>
      <c r="N79" s="6"/>
      <c r="O79" s="6"/>
    </row>
    <row r="80" spans="7:15" x14ac:dyDescent="0.2">
      <c r="G80" s="6"/>
      <c r="J80" s="14"/>
      <c r="K80" s="6"/>
      <c r="L80" s="6"/>
      <c r="M80" s="6"/>
      <c r="N80" s="6"/>
      <c r="O80" s="6"/>
    </row>
    <row r="81" spans="7:15" x14ac:dyDescent="0.2">
      <c r="G81" s="6"/>
      <c r="J81" s="14"/>
      <c r="K81" s="6"/>
      <c r="L81" s="6"/>
      <c r="M81" s="6"/>
      <c r="N81" s="6"/>
      <c r="O81" s="6"/>
    </row>
    <row r="82" spans="7:15" x14ac:dyDescent="0.2">
      <c r="G82" s="6"/>
      <c r="J82" s="14"/>
      <c r="K82" s="6"/>
      <c r="L82" s="6"/>
      <c r="M82" s="6"/>
      <c r="N82" s="6"/>
      <c r="O82" s="6"/>
    </row>
    <row r="83" spans="7:15" x14ac:dyDescent="0.2">
      <c r="G83" s="6"/>
      <c r="J83" s="14"/>
      <c r="K83" s="6"/>
      <c r="L83" s="6"/>
      <c r="M83" s="6"/>
      <c r="N83" s="6"/>
      <c r="O83" s="6"/>
    </row>
    <row r="84" spans="7:15" x14ac:dyDescent="0.2">
      <c r="G84" s="6"/>
      <c r="J84" s="14"/>
      <c r="K84" s="6"/>
      <c r="L84" s="6"/>
      <c r="M84" s="6"/>
      <c r="N84" s="6"/>
      <c r="O84" s="6"/>
    </row>
    <row r="85" spans="7:15" x14ac:dyDescent="0.2">
      <c r="G85" s="6"/>
      <c r="J85" s="14"/>
      <c r="K85" s="6"/>
      <c r="L85" s="6"/>
      <c r="M85" s="6"/>
      <c r="N85" s="6"/>
      <c r="O85" s="6"/>
    </row>
    <row r="86" spans="7:15" x14ac:dyDescent="0.2">
      <c r="G86" s="6"/>
      <c r="J86" s="14"/>
      <c r="K86" s="6"/>
      <c r="L86" s="6"/>
      <c r="M86" s="6"/>
      <c r="N86" s="6"/>
      <c r="O86" s="6"/>
    </row>
    <row r="87" spans="7:15" x14ac:dyDescent="0.2">
      <c r="G87" s="6"/>
      <c r="J87" s="14"/>
      <c r="K87" s="6"/>
      <c r="L87" s="6"/>
      <c r="M87" s="6"/>
      <c r="N87" s="6"/>
      <c r="O87" s="6"/>
    </row>
    <row r="88" spans="7:15" x14ac:dyDescent="0.2">
      <c r="G88" s="6"/>
      <c r="J88" s="14"/>
      <c r="K88" s="6"/>
      <c r="L88" s="6"/>
      <c r="M88" s="6"/>
      <c r="N88" s="6"/>
      <c r="O88" s="6"/>
    </row>
    <row r="89" spans="7:15" x14ac:dyDescent="0.2">
      <c r="G89" s="6"/>
      <c r="J89" s="14"/>
      <c r="K89" s="6"/>
      <c r="L89" s="6"/>
      <c r="M89" s="6"/>
      <c r="N89" s="6"/>
      <c r="O89" s="6"/>
    </row>
    <row r="90" spans="7:15" x14ac:dyDescent="0.2">
      <c r="G90" s="6"/>
      <c r="J90" s="14"/>
      <c r="K90" s="6"/>
      <c r="L90" s="6"/>
      <c r="M90" s="6"/>
      <c r="N90" s="6"/>
      <c r="O90" s="6"/>
    </row>
    <row r="91" spans="7:15" x14ac:dyDescent="0.2">
      <c r="G91" s="6"/>
      <c r="J91" s="14"/>
      <c r="K91" s="6"/>
      <c r="L91" s="6"/>
      <c r="M91" s="6"/>
      <c r="N91" s="6"/>
      <c r="O91" s="6"/>
    </row>
    <row r="92" spans="7:15" x14ac:dyDescent="0.2">
      <c r="G92" s="6"/>
      <c r="J92" s="14"/>
      <c r="K92" s="6"/>
      <c r="L92" s="6"/>
      <c r="M92" s="6"/>
      <c r="N92" s="6"/>
      <c r="O92" s="6"/>
    </row>
    <row r="93" spans="7:15" x14ac:dyDescent="0.2">
      <c r="G93" s="6"/>
      <c r="J93" s="14"/>
      <c r="K93" s="6"/>
      <c r="L93" s="6"/>
      <c r="M93" s="6"/>
      <c r="N93" s="6"/>
      <c r="O93" s="6"/>
    </row>
    <row r="94" spans="7:15" x14ac:dyDescent="0.2">
      <c r="G94" s="6"/>
      <c r="J94" s="14"/>
      <c r="K94" s="6"/>
      <c r="L94" s="6"/>
      <c r="M94" s="6"/>
      <c r="N94" s="6"/>
      <c r="O94" s="6"/>
    </row>
    <row r="95" spans="7:15" x14ac:dyDescent="0.2">
      <c r="G95" s="6"/>
      <c r="J95" s="14"/>
      <c r="K95" s="6"/>
      <c r="L95" s="6"/>
      <c r="M95" s="6"/>
      <c r="N95" s="6"/>
      <c r="O95" s="6"/>
    </row>
    <row r="96" spans="7:15" x14ac:dyDescent="0.2">
      <c r="L96" s="6"/>
      <c r="M96" s="6"/>
      <c r="N96" s="6"/>
    </row>
    <row r="97" spans="12:14" x14ac:dyDescent="0.2">
      <c r="L97" s="6"/>
      <c r="M97" s="6"/>
      <c r="N97" s="6"/>
    </row>
    <row r="98" spans="12:14" x14ac:dyDescent="0.2">
      <c r="L98" s="6"/>
      <c r="M98" s="6"/>
      <c r="N98" s="6"/>
    </row>
    <row r="99" spans="12:14" x14ac:dyDescent="0.2">
      <c r="L99" s="6"/>
      <c r="M99" s="6"/>
      <c r="N99" s="6"/>
    </row>
  </sheetData>
  <mergeCells count="2">
    <mergeCell ref="M50:N50"/>
    <mergeCell ref="S28:S29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"/>
  <sheetViews>
    <sheetView tabSelected="1" workbookViewId="0">
      <selection activeCell="C82" sqref="C82"/>
    </sheetView>
  </sheetViews>
  <sheetFormatPr defaultColWidth="10.85546875" defaultRowHeight="12.75" x14ac:dyDescent="0.2"/>
  <cols>
    <col min="1" max="1" width="10.85546875" style="1"/>
    <col min="2" max="2" width="20.7109375" style="1" customWidth="1"/>
    <col min="3" max="3" width="21.85546875" style="1" customWidth="1"/>
    <col min="4" max="4" width="15.140625" style="1" customWidth="1"/>
    <col min="5" max="5" width="11.28515625" style="1" customWidth="1"/>
    <col min="6" max="9" width="10.85546875" style="1"/>
    <col min="10" max="10" width="1.140625" style="1" customWidth="1"/>
    <col min="11" max="14" width="10.85546875" style="1"/>
    <col min="15" max="15" width="0.7109375" style="1" customWidth="1"/>
    <col min="16" max="16384" width="10.85546875" style="1"/>
  </cols>
  <sheetData>
    <row r="1" spans="1:24" ht="13.15" x14ac:dyDescent="0.25">
      <c r="A1" s="2" t="s">
        <v>85</v>
      </c>
      <c r="C1" s="97">
        <f>SUM(C4:C9)</f>
        <v>8050</v>
      </c>
      <c r="D1" s="97">
        <f>SUM(D4:D9)</f>
        <v>2308</v>
      </c>
      <c r="F1" s="2" t="s">
        <v>86</v>
      </c>
      <c r="H1" s="97">
        <f>SUM(H4:H9)</f>
        <v>1150</v>
      </c>
      <c r="I1" s="97">
        <f>SUM(I4:I9)</f>
        <v>272</v>
      </c>
      <c r="K1" s="2" t="s">
        <v>87</v>
      </c>
      <c r="M1" s="97">
        <f>SUM(M4:M9)</f>
        <v>0</v>
      </c>
      <c r="N1" s="97">
        <f>SUM(N4:N9)</f>
        <v>0</v>
      </c>
      <c r="P1" s="2" t="s">
        <v>88</v>
      </c>
      <c r="R1" s="97">
        <f>SUM(R4:R9)</f>
        <v>0</v>
      </c>
      <c r="S1" s="97">
        <f>SUM(S4:S9)</f>
        <v>0</v>
      </c>
      <c r="U1" s="2"/>
    </row>
    <row r="2" spans="1:24" ht="13.15" x14ac:dyDescent="0.25">
      <c r="B2" s="2" t="s">
        <v>115</v>
      </c>
      <c r="G2" s="2" t="s">
        <v>115</v>
      </c>
      <c r="L2" s="2" t="s">
        <v>115</v>
      </c>
      <c r="Q2" s="2" t="s">
        <v>115</v>
      </c>
      <c r="V2" s="2"/>
    </row>
    <row r="3" spans="1:24" ht="13.15" x14ac:dyDescent="0.25">
      <c r="A3" s="2" t="s">
        <v>2</v>
      </c>
      <c r="B3" s="2" t="s">
        <v>134</v>
      </c>
      <c r="C3" s="2" t="s">
        <v>136</v>
      </c>
      <c r="D3" s="2" t="s">
        <v>137</v>
      </c>
      <c r="F3" s="2" t="s">
        <v>2</v>
      </c>
      <c r="G3" s="2" t="s">
        <v>134</v>
      </c>
      <c r="H3" s="2" t="s">
        <v>136</v>
      </c>
      <c r="I3" s="2" t="s">
        <v>137</v>
      </c>
      <c r="J3" s="2"/>
      <c r="K3" s="2" t="s">
        <v>2</v>
      </c>
      <c r="L3" s="2" t="s">
        <v>134</v>
      </c>
      <c r="M3" s="144" t="s">
        <v>136</v>
      </c>
      <c r="N3" s="2" t="s">
        <v>137</v>
      </c>
      <c r="P3" s="2" t="s">
        <v>2</v>
      </c>
      <c r="Q3" s="2" t="s">
        <v>134</v>
      </c>
      <c r="R3" s="144" t="s">
        <v>136</v>
      </c>
      <c r="S3" s="2" t="s">
        <v>137</v>
      </c>
      <c r="U3" s="2"/>
      <c r="V3" s="2"/>
      <c r="W3" s="2"/>
      <c r="X3" s="2"/>
    </row>
    <row r="4" spans="1:24" ht="13.15" x14ac:dyDescent="0.25">
      <c r="A4" s="95">
        <v>40731</v>
      </c>
      <c r="B4" s="2" t="s">
        <v>135</v>
      </c>
      <c r="C4" s="96">
        <v>3450</v>
      </c>
      <c r="D4" s="96">
        <v>1102</v>
      </c>
      <c r="F4" s="95">
        <v>40857</v>
      </c>
      <c r="G4" s="2" t="s">
        <v>135</v>
      </c>
      <c r="H4" s="96">
        <v>1150</v>
      </c>
      <c r="I4" s="96">
        <v>272</v>
      </c>
      <c r="K4" s="95"/>
      <c r="L4" s="2" t="s">
        <v>135</v>
      </c>
      <c r="M4" s="96"/>
      <c r="N4" s="96"/>
      <c r="P4" s="95"/>
      <c r="Q4" s="2" t="s">
        <v>135</v>
      </c>
      <c r="R4" s="96"/>
      <c r="S4" s="96"/>
      <c r="V4" s="2"/>
    </row>
    <row r="5" spans="1:24" ht="13.15" x14ac:dyDescent="0.25">
      <c r="A5" s="95">
        <v>40745</v>
      </c>
      <c r="B5" s="2" t="s">
        <v>135</v>
      </c>
      <c r="C5" s="96">
        <v>1150</v>
      </c>
      <c r="D5" s="96">
        <v>272</v>
      </c>
      <c r="F5" s="95"/>
      <c r="H5" s="96"/>
      <c r="I5" s="96"/>
      <c r="K5" s="95"/>
      <c r="M5" s="96"/>
      <c r="N5" s="96"/>
      <c r="P5" s="95"/>
      <c r="R5" s="96"/>
      <c r="S5" s="96"/>
    </row>
    <row r="6" spans="1:24" ht="13.15" x14ac:dyDescent="0.25">
      <c r="A6" s="95">
        <v>40773</v>
      </c>
      <c r="B6" s="2" t="s">
        <v>135</v>
      </c>
      <c r="C6" s="96">
        <v>2300</v>
      </c>
      <c r="D6" s="96">
        <v>662</v>
      </c>
      <c r="F6" s="95"/>
      <c r="H6" s="96"/>
      <c r="I6" s="96"/>
      <c r="K6" s="95"/>
      <c r="M6" s="96"/>
      <c r="N6" s="96"/>
      <c r="P6" s="95"/>
      <c r="R6" s="96"/>
      <c r="S6" s="96"/>
    </row>
    <row r="7" spans="1:24" ht="13.15" x14ac:dyDescent="0.25">
      <c r="A7" s="95">
        <v>40787</v>
      </c>
      <c r="B7" s="2" t="s">
        <v>135</v>
      </c>
      <c r="C7" s="96">
        <v>1150</v>
      </c>
      <c r="D7" s="96">
        <v>272</v>
      </c>
      <c r="F7" s="95"/>
      <c r="H7" s="96"/>
      <c r="I7" s="96"/>
      <c r="K7" s="95"/>
      <c r="M7" s="96"/>
      <c r="N7" s="96"/>
      <c r="P7" s="95"/>
      <c r="R7" s="96"/>
      <c r="S7" s="96"/>
    </row>
    <row r="8" spans="1:24" ht="13.15" x14ac:dyDescent="0.25">
      <c r="B8" s="2"/>
      <c r="C8" s="96"/>
      <c r="D8" s="96"/>
      <c r="H8" s="96"/>
      <c r="I8" s="96"/>
      <c r="K8" s="95"/>
      <c r="M8" s="96"/>
      <c r="N8" s="96"/>
      <c r="P8" s="95"/>
      <c r="R8" s="96"/>
      <c r="S8" s="96"/>
    </row>
    <row r="9" spans="1:24" ht="13.15" x14ac:dyDescent="0.25">
      <c r="B9" s="2"/>
      <c r="C9" s="96"/>
      <c r="D9" s="96"/>
      <c r="H9" s="96"/>
      <c r="I9" s="96"/>
      <c r="K9" s="95"/>
      <c r="M9" s="96"/>
      <c r="N9" s="96"/>
      <c r="P9" s="95"/>
      <c r="R9" s="96"/>
      <c r="S9" s="96"/>
    </row>
    <row r="10" spans="1:24" ht="13.15" x14ac:dyDescent="0.25">
      <c r="C10" s="96"/>
      <c r="D10" s="96"/>
    </row>
    <row r="11" spans="1:24" x14ac:dyDescent="0.2">
      <c r="B11" s="1" t="s">
        <v>164</v>
      </c>
    </row>
    <row r="12" spans="1:24" ht="15" x14ac:dyDescent="0.25">
      <c r="A12" s="324" t="s">
        <v>84</v>
      </c>
      <c r="B12" s="324"/>
      <c r="C12" s="324"/>
      <c r="D12" s="325">
        <f>SUM(C14:C25)</f>
        <v>2578.1999999999994</v>
      </c>
    </row>
    <row r="13" spans="1:24" ht="15" x14ac:dyDescent="0.25">
      <c r="A13" s="297"/>
      <c r="B13" s="297" t="s">
        <v>138</v>
      </c>
      <c r="C13" s="297" t="s">
        <v>139</v>
      </c>
      <c r="D13" s="323"/>
    </row>
    <row r="14" spans="1:24" ht="15" x14ac:dyDescent="0.25">
      <c r="A14" s="297"/>
      <c r="B14" s="297" t="s">
        <v>122</v>
      </c>
      <c r="C14" s="298">
        <v>214.85</v>
      </c>
      <c r="D14" s="323"/>
    </row>
    <row r="15" spans="1:24" ht="15" x14ac:dyDescent="0.25">
      <c r="A15" s="297"/>
      <c r="B15" s="297" t="s">
        <v>123</v>
      </c>
      <c r="C15" s="298">
        <v>214.85</v>
      </c>
      <c r="D15" s="323"/>
    </row>
    <row r="16" spans="1:24" ht="15" x14ac:dyDescent="0.25">
      <c r="A16" s="297"/>
      <c r="B16" s="297" t="s">
        <v>124</v>
      </c>
      <c r="C16" s="298">
        <v>214.85</v>
      </c>
      <c r="D16" s="323"/>
    </row>
    <row r="17" spans="1:4" ht="15" x14ac:dyDescent="0.25">
      <c r="A17" s="297"/>
      <c r="B17" s="297" t="s">
        <v>125</v>
      </c>
      <c r="C17" s="298">
        <v>214.85</v>
      </c>
      <c r="D17" s="323"/>
    </row>
    <row r="18" spans="1:4" ht="15" x14ac:dyDescent="0.25">
      <c r="A18" s="297"/>
      <c r="B18" s="297" t="s">
        <v>126</v>
      </c>
      <c r="C18" s="298">
        <v>214.85</v>
      </c>
      <c r="D18" s="323"/>
    </row>
    <row r="19" spans="1:4" ht="15" x14ac:dyDescent="0.25">
      <c r="A19" s="297"/>
      <c r="B19" s="297" t="s">
        <v>127</v>
      </c>
      <c r="C19" s="298">
        <v>214.85</v>
      </c>
      <c r="D19" s="323"/>
    </row>
    <row r="20" spans="1:4" ht="15" x14ac:dyDescent="0.25">
      <c r="A20" s="297"/>
      <c r="B20" s="297" t="s">
        <v>128</v>
      </c>
      <c r="C20" s="298">
        <v>214.85</v>
      </c>
      <c r="D20" s="323"/>
    </row>
    <row r="21" spans="1:4" ht="15" x14ac:dyDescent="0.25">
      <c r="A21" s="297"/>
      <c r="B21" s="297" t="s">
        <v>129</v>
      </c>
      <c r="C21" s="298">
        <v>214.85</v>
      </c>
      <c r="D21" s="323"/>
    </row>
    <row r="22" spans="1:4" ht="15" x14ac:dyDescent="0.25">
      <c r="A22" s="297"/>
      <c r="B22" s="297" t="s">
        <v>130</v>
      </c>
      <c r="C22" s="298">
        <v>214.85</v>
      </c>
      <c r="D22" s="323"/>
    </row>
    <row r="23" spans="1:4" ht="15" x14ac:dyDescent="0.25">
      <c r="A23" s="297"/>
      <c r="B23" s="297" t="s">
        <v>131</v>
      </c>
      <c r="C23" s="298">
        <v>214.85</v>
      </c>
      <c r="D23" s="323"/>
    </row>
    <row r="24" spans="1:4" ht="15" x14ac:dyDescent="0.25">
      <c r="A24" s="297"/>
      <c r="B24" s="297" t="s">
        <v>132</v>
      </c>
      <c r="C24" s="298">
        <v>214.85</v>
      </c>
      <c r="D24" s="323"/>
    </row>
    <row r="25" spans="1:4" ht="15" x14ac:dyDescent="0.25">
      <c r="A25" s="297"/>
      <c r="B25" s="297" t="s">
        <v>133</v>
      </c>
      <c r="C25" s="298">
        <v>214.85</v>
      </c>
      <c r="D25" s="323"/>
    </row>
    <row r="26" spans="1:4" ht="15" x14ac:dyDescent="0.25">
      <c r="C26" s="96"/>
      <c r="D26" s="323"/>
    </row>
    <row r="27" spans="1:4" ht="15" x14ac:dyDescent="0.25">
      <c r="C27" s="96"/>
      <c r="D27" s="323"/>
    </row>
    <row r="28" spans="1:4" ht="15" x14ac:dyDescent="0.25">
      <c r="C28" s="96"/>
      <c r="D28" s="323"/>
    </row>
    <row r="29" spans="1:4" ht="15" x14ac:dyDescent="0.25">
      <c r="A29" s="324" t="s">
        <v>400</v>
      </c>
      <c r="B29" s="324"/>
      <c r="C29" s="325"/>
      <c r="D29" s="325">
        <v>4554</v>
      </c>
    </row>
    <row r="30" spans="1:4" x14ac:dyDescent="0.2">
      <c r="A30" s="299"/>
      <c r="B30" s="301" t="s">
        <v>401</v>
      </c>
      <c r="C30" s="299"/>
    </row>
    <row r="31" spans="1:4" ht="39" x14ac:dyDescent="0.25">
      <c r="A31" s="302"/>
      <c r="B31" s="303" t="s">
        <v>402</v>
      </c>
      <c r="C31" s="300">
        <v>3187</v>
      </c>
      <c r="D31" s="323"/>
    </row>
    <row r="32" spans="1:4" ht="26.25" x14ac:dyDescent="0.25">
      <c r="A32" s="302"/>
      <c r="B32" s="303" t="s">
        <v>403</v>
      </c>
      <c r="C32" s="300">
        <v>1367</v>
      </c>
      <c r="D32" s="323"/>
    </row>
    <row r="33" spans="1:6" ht="15" x14ac:dyDescent="0.25">
      <c r="A33" s="299"/>
      <c r="B33" s="303" t="s">
        <v>404</v>
      </c>
      <c r="C33" s="300">
        <v>1367</v>
      </c>
      <c r="D33" s="323"/>
    </row>
    <row r="34" spans="1:6" ht="15" x14ac:dyDescent="0.25">
      <c r="B34" s="228"/>
      <c r="C34" s="96"/>
      <c r="D34" s="323"/>
      <c r="F34" s="95"/>
    </row>
    <row r="35" spans="1:6" ht="15" x14ac:dyDescent="0.25">
      <c r="A35" s="95"/>
      <c r="C35" s="96"/>
      <c r="D35" s="323"/>
      <c r="F35" s="95"/>
    </row>
    <row r="36" spans="1:6" ht="15" x14ac:dyDescent="0.25">
      <c r="A36" s="324" t="s">
        <v>405</v>
      </c>
      <c r="B36" s="324"/>
      <c r="C36" s="325"/>
      <c r="D36" s="325">
        <f>SUM(C38:C46)</f>
        <v>990.85</v>
      </c>
    </row>
    <row r="37" spans="1:6" ht="15" x14ac:dyDescent="0.25">
      <c r="A37" s="304"/>
      <c r="B37" s="304"/>
      <c r="C37" s="305"/>
      <c r="D37" s="323"/>
    </row>
    <row r="38" spans="1:6" ht="15" x14ac:dyDescent="0.25">
      <c r="A38" s="304"/>
      <c r="B38" s="304" t="s">
        <v>197</v>
      </c>
      <c r="C38" s="305"/>
      <c r="D38" s="323"/>
    </row>
    <row r="39" spans="1:6" ht="15" x14ac:dyDescent="0.25">
      <c r="A39" s="304"/>
      <c r="B39" s="304"/>
      <c r="C39" s="305"/>
      <c r="D39" s="323"/>
    </row>
    <row r="40" spans="1:6" ht="15" x14ac:dyDescent="0.25">
      <c r="A40" s="304"/>
      <c r="B40" s="304"/>
      <c r="C40" s="305"/>
      <c r="D40" s="323"/>
    </row>
    <row r="41" spans="1:6" ht="15" x14ac:dyDescent="0.25">
      <c r="A41" s="304"/>
      <c r="B41" s="304"/>
      <c r="C41" s="305"/>
      <c r="D41" s="323"/>
    </row>
    <row r="42" spans="1:6" ht="15" x14ac:dyDescent="0.25">
      <c r="A42" s="304"/>
      <c r="B42" s="304" t="s">
        <v>198</v>
      </c>
      <c r="C42" s="305"/>
      <c r="D42" s="323"/>
    </row>
    <row r="43" spans="1:6" ht="15" x14ac:dyDescent="0.25">
      <c r="A43" s="304"/>
      <c r="B43" s="306">
        <v>40753</v>
      </c>
      <c r="C43" s="305">
        <v>543.85</v>
      </c>
      <c r="D43" s="323"/>
    </row>
    <row r="44" spans="1:6" ht="15" x14ac:dyDescent="0.25">
      <c r="A44" s="304"/>
      <c r="B44" s="304" t="s">
        <v>406</v>
      </c>
      <c r="C44" s="305"/>
      <c r="D44" s="323"/>
    </row>
    <row r="45" spans="1:6" ht="15" x14ac:dyDescent="0.25">
      <c r="A45" s="304"/>
      <c r="B45" s="306">
        <v>40750</v>
      </c>
      <c r="C45" s="305">
        <v>447</v>
      </c>
      <c r="D45" s="323"/>
    </row>
    <row r="46" spans="1:6" ht="15" x14ac:dyDescent="0.25">
      <c r="D46" s="323"/>
    </row>
    <row r="47" spans="1:6" ht="15" x14ac:dyDescent="0.25">
      <c r="A47" s="324" t="s">
        <v>83</v>
      </c>
      <c r="B47" s="324"/>
      <c r="C47" s="324"/>
      <c r="D47" s="325">
        <f>SUM(C49:C54)</f>
        <v>1196</v>
      </c>
    </row>
    <row r="48" spans="1:6" ht="15" x14ac:dyDescent="0.25">
      <c r="A48" s="319" t="s">
        <v>2</v>
      </c>
      <c r="B48" s="319"/>
      <c r="C48" s="320" t="s">
        <v>139</v>
      </c>
      <c r="D48" s="323"/>
    </row>
    <row r="49" spans="1:4" ht="15" x14ac:dyDescent="0.25">
      <c r="A49" s="321">
        <v>40946</v>
      </c>
      <c r="B49" s="322" t="s">
        <v>407</v>
      </c>
      <c r="C49" s="320">
        <v>60</v>
      </c>
      <c r="D49" s="323"/>
    </row>
    <row r="50" spans="1:4" ht="39" x14ac:dyDescent="0.25">
      <c r="A50" s="321">
        <v>40966</v>
      </c>
      <c r="B50" s="322" t="s">
        <v>410</v>
      </c>
      <c r="C50" s="320">
        <f xml:space="preserve"> 323+15+182</f>
        <v>520</v>
      </c>
      <c r="D50" s="323"/>
    </row>
    <row r="51" spans="1:4" ht="15" x14ac:dyDescent="0.25">
      <c r="A51" s="321">
        <v>40966</v>
      </c>
      <c r="B51" s="322" t="s">
        <v>411</v>
      </c>
      <c r="C51" s="320">
        <v>30</v>
      </c>
      <c r="D51" s="323"/>
    </row>
    <row r="52" spans="1:4" ht="26.25" x14ac:dyDescent="0.25">
      <c r="A52" s="321">
        <v>40983</v>
      </c>
      <c r="B52" s="322" t="s">
        <v>408</v>
      </c>
      <c r="C52" s="320">
        <v>10</v>
      </c>
      <c r="D52" s="323"/>
    </row>
    <row r="53" spans="1:4" ht="15" x14ac:dyDescent="0.25">
      <c r="A53" s="321">
        <v>40987</v>
      </c>
      <c r="B53" s="322" t="s">
        <v>409</v>
      </c>
      <c r="C53" s="320">
        <v>6</v>
      </c>
      <c r="D53" s="323"/>
    </row>
    <row r="54" spans="1:4" ht="51.75" x14ac:dyDescent="0.25">
      <c r="A54" s="321">
        <v>41054</v>
      </c>
      <c r="B54" s="322" t="s">
        <v>412</v>
      </c>
      <c r="C54" s="320">
        <f>313+60+15+182</f>
        <v>570</v>
      </c>
      <c r="D54" s="323"/>
    </row>
    <row r="55" spans="1:4" ht="15" x14ac:dyDescent="0.25">
      <c r="B55" s="228"/>
      <c r="C55" s="96"/>
      <c r="D55" s="323"/>
    </row>
    <row r="56" spans="1:4" ht="15" x14ac:dyDescent="0.25">
      <c r="A56" s="324" t="s">
        <v>413</v>
      </c>
      <c r="B56" s="326"/>
      <c r="C56" s="325"/>
      <c r="D56" s="325">
        <f>SUM(C56:C62)</f>
        <v>494.96000000000004</v>
      </c>
    </row>
    <row r="57" spans="1:4" ht="15" x14ac:dyDescent="0.25">
      <c r="A57" s="307">
        <v>40890</v>
      </c>
      <c r="B57" s="308" t="s">
        <v>414</v>
      </c>
      <c r="C57" s="309">
        <v>140</v>
      </c>
      <c r="D57" s="323"/>
    </row>
    <row r="58" spans="1:4" ht="15" x14ac:dyDescent="0.25">
      <c r="A58" s="307">
        <v>40836</v>
      </c>
      <c r="B58" s="308" t="s">
        <v>415</v>
      </c>
      <c r="C58" s="309">
        <v>99.99</v>
      </c>
      <c r="D58" s="323"/>
    </row>
    <row r="59" spans="1:4" ht="15" x14ac:dyDescent="0.25">
      <c r="A59" s="307">
        <v>40788</v>
      </c>
      <c r="B59" s="308" t="s">
        <v>416</v>
      </c>
      <c r="C59" s="309">
        <v>5</v>
      </c>
      <c r="D59" s="323"/>
    </row>
    <row r="60" spans="1:4" ht="15" x14ac:dyDescent="0.25">
      <c r="A60" s="307">
        <v>40750</v>
      </c>
      <c r="B60" s="308"/>
      <c r="C60" s="309">
        <v>23.99</v>
      </c>
      <c r="D60" s="323"/>
    </row>
    <row r="61" spans="1:4" ht="15" x14ac:dyDescent="0.25">
      <c r="A61" s="307">
        <v>40862</v>
      </c>
      <c r="B61" s="308" t="s">
        <v>417</v>
      </c>
      <c r="C61" s="309">
        <v>90</v>
      </c>
      <c r="D61" s="323"/>
    </row>
    <row r="62" spans="1:4" ht="15" x14ac:dyDescent="0.25">
      <c r="A62" s="307">
        <v>40929</v>
      </c>
      <c r="B62" s="308" t="s">
        <v>418</v>
      </c>
      <c r="C62" s="309">
        <v>135.97999999999999</v>
      </c>
      <c r="D62" s="323"/>
    </row>
    <row r="63" spans="1:4" ht="15" x14ac:dyDescent="0.25">
      <c r="B63" s="228"/>
      <c r="C63" s="96"/>
      <c r="D63" s="323"/>
    </row>
    <row r="64" spans="1:4" ht="15" x14ac:dyDescent="0.25">
      <c r="B64" s="228"/>
      <c r="C64" s="96"/>
      <c r="D64" s="323"/>
    </row>
    <row r="65" spans="1:4" ht="15" x14ac:dyDescent="0.25">
      <c r="A65" s="324" t="s">
        <v>419</v>
      </c>
      <c r="B65" s="326"/>
      <c r="C65" s="324"/>
      <c r="D65" s="325">
        <f>SUM(C66:C75)</f>
        <v>2632.24</v>
      </c>
    </row>
    <row r="66" spans="1:4" x14ac:dyDescent="0.2">
      <c r="A66" s="310">
        <v>39729</v>
      </c>
      <c r="B66" s="311" t="s">
        <v>173</v>
      </c>
      <c r="C66" s="312">
        <v>188</v>
      </c>
    </row>
    <row r="67" spans="1:4" x14ac:dyDescent="0.2">
      <c r="A67" s="310">
        <v>40514</v>
      </c>
      <c r="B67" s="311" t="s">
        <v>174</v>
      </c>
      <c r="C67" s="312">
        <v>98</v>
      </c>
    </row>
    <row r="68" spans="1:4" ht="30" x14ac:dyDescent="0.2">
      <c r="A68" s="313">
        <v>40766</v>
      </c>
      <c r="B68" s="161" t="s">
        <v>29</v>
      </c>
      <c r="C68" s="314">
        <v>383.1</v>
      </c>
    </row>
    <row r="69" spans="1:4" x14ac:dyDescent="0.2">
      <c r="A69" s="315">
        <v>40809</v>
      </c>
      <c r="B69" s="316" t="s">
        <v>187</v>
      </c>
      <c r="C69" s="317">
        <f>15*5</f>
        <v>75</v>
      </c>
    </row>
    <row r="70" spans="1:4" ht="15" x14ac:dyDescent="0.2">
      <c r="A70" s="313">
        <v>40769</v>
      </c>
      <c r="B70" s="161" t="s">
        <v>22</v>
      </c>
      <c r="C70" s="314">
        <v>12</v>
      </c>
    </row>
    <row r="71" spans="1:4" x14ac:dyDescent="0.2">
      <c r="A71" s="310">
        <v>40813</v>
      </c>
      <c r="B71" s="311" t="s">
        <v>213</v>
      </c>
      <c r="C71" s="312">
        <v>60</v>
      </c>
    </row>
    <row r="72" spans="1:4" x14ac:dyDescent="0.2">
      <c r="A72" s="318"/>
      <c r="B72" s="311" t="s">
        <v>213</v>
      </c>
      <c r="C72" s="312">
        <v>154</v>
      </c>
    </row>
    <row r="73" spans="1:4" x14ac:dyDescent="0.2">
      <c r="A73" s="310">
        <v>40823</v>
      </c>
      <c r="B73" s="311" t="s">
        <v>219</v>
      </c>
      <c r="C73" s="312">
        <v>39.18</v>
      </c>
    </row>
    <row r="74" spans="1:4" ht="13.5" thickBot="1" x14ac:dyDescent="0.25">
      <c r="A74" s="318"/>
      <c r="B74" s="311"/>
      <c r="C74" s="318"/>
    </row>
    <row r="75" spans="1:4" ht="25.5" x14ac:dyDescent="0.2">
      <c r="A75" s="318" t="s">
        <v>220</v>
      </c>
      <c r="B75" s="327" t="s">
        <v>218</v>
      </c>
      <c r="C75" s="328">
        <f>'Mileage PAYG'!K131</f>
        <v>1622.9599999999998</v>
      </c>
    </row>
    <row r="76" spans="1:4" ht="51.75" thickBot="1" x14ac:dyDescent="0.25">
      <c r="B76" s="329" t="s">
        <v>420</v>
      </c>
      <c r="C76" s="330">
        <f>'Mileage PAYG'!I131</f>
        <v>10684</v>
      </c>
    </row>
    <row r="77" spans="1:4" x14ac:dyDescent="0.2">
      <c r="B77" s="124"/>
      <c r="C77" s="124"/>
    </row>
    <row r="79" spans="1:4" x14ac:dyDescent="0.2">
      <c r="B79" s="124"/>
      <c r="C79" s="124"/>
    </row>
    <row r="80" spans="1:4" x14ac:dyDescent="0.2">
      <c r="B80" s="124" t="s">
        <v>421</v>
      </c>
      <c r="C80" s="124">
        <f>'Mileage PAYG'!Q2</f>
        <v>1343</v>
      </c>
    </row>
    <row r="81" spans="2:3" x14ac:dyDescent="0.2">
      <c r="B81" s="124"/>
      <c r="C81" s="124"/>
    </row>
    <row r="82" spans="2:3" x14ac:dyDescent="0.2">
      <c r="B82" s="124"/>
      <c r="C82" s="124"/>
    </row>
    <row r="83" spans="2:3" x14ac:dyDescent="0.2">
      <c r="B83" s="124"/>
      <c r="C83" s="124"/>
    </row>
    <row r="84" spans="2:3" x14ac:dyDescent="0.2">
      <c r="B84" s="124"/>
      <c r="C84" s="124"/>
    </row>
    <row r="85" spans="2:3" x14ac:dyDescent="0.2">
      <c r="B85" s="124"/>
      <c r="C85" s="124"/>
    </row>
    <row r="86" spans="2:3" x14ac:dyDescent="0.2">
      <c r="B86" s="124"/>
      <c r="C86" s="124"/>
    </row>
    <row r="87" spans="2:3" x14ac:dyDescent="0.2">
      <c r="B87" s="124"/>
      <c r="C87" s="124"/>
    </row>
    <row r="88" spans="2:3" x14ac:dyDescent="0.2">
      <c r="B88" s="124"/>
      <c r="C88" s="124"/>
    </row>
    <row r="89" spans="2:3" x14ac:dyDescent="0.2">
      <c r="B89" s="124"/>
      <c r="C89" s="124"/>
    </row>
    <row r="90" spans="2:3" x14ac:dyDescent="0.2">
      <c r="B90" s="124"/>
      <c r="C90" s="124"/>
    </row>
    <row r="91" spans="2:3" x14ac:dyDescent="0.2">
      <c r="B91" s="124"/>
      <c r="C91" s="124"/>
    </row>
    <row r="92" spans="2:3" x14ac:dyDescent="0.2">
      <c r="B92" s="124"/>
      <c r="C92" s="124"/>
    </row>
    <row r="93" spans="2:3" x14ac:dyDescent="0.2">
      <c r="B93" s="124"/>
      <c r="C93" s="124"/>
    </row>
    <row r="94" spans="2:3" x14ac:dyDescent="0.2">
      <c r="B94" s="124"/>
      <c r="C94" s="124"/>
    </row>
    <row r="95" spans="2:3" x14ac:dyDescent="0.2">
      <c r="B95" s="124"/>
      <c r="C95" s="124"/>
    </row>
    <row r="96" spans="2:3" x14ac:dyDescent="0.2">
      <c r="B96" s="124"/>
      <c r="C96" s="124"/>
    </row>
    <row r="97" spans="2:3" x14ac:dyDescent="0.2">
      <c r="B97" s="124"/>
      <c r="C97" s="124"/>
    </row>
    <row r="98" spans="2:3" x14ac:dyDescent="0.2">
      <c r="B98" s="124"/>
      <c r="C98" s="124"/>
    </row>
    <row r="99" spans="2:3" x14ac:dyDescent="0.2">
      <c r="B99" s="124"/>
      <c r="C99" s="124"/>
    </row>
    <row r="100" spans="2:3" x14ac:dyDescent="0.2">
      <c r="B100" s="124"/>
      <c r="C100" s="124"/>
    </row>
    <row r="101" spans="2:3" x14ac:dyDescent="0.2">
      <c r="B101" s="124"/>
      <c r="C101" s="124"/>
    </row>
    <row r="102" spans="2:3" x14ac:dyDescent="0.2">
      <c r="B102" s="124"/>
      <c r="C102" s="124"/>
    </row>
    <row r="103" spans="2:3" x14ac:dyDescent="0.2">
      <c r="B103" s="124"/>
      <c r="C103" s="124"/>
    </row>
    <row r="104" spans="2:3" x14ac:dyDescent="0.2">
      <c r="B104" s="124"/>
      <c r="C104" s="124"/>
    </row>
    <row r="105" spans="2:3" x14ac:dyDescent="0.2">
      <c r="B105" s="124"/>
      <c r="C105" s="124"/>
    </row>
    <row r="106" spans="2:3" x14ac:dyDescent="0.2">
      <c r="B106" s="124"/>
      <c r="C106" s="124"/>
    </row>
    <row r="107" spans="2:3" x14ac:dyDescent="0.2">
      <c r="B107" s="124"/>
      <c r="C107" s="124"/>
    </row>
    <row r="108" spans="2:3" x14ac:dyDescent="0.2">
      <c r="B108" s="124"/>
      <c r="C108" s="124"/>
    </row>
    <row r="109" spans="2:3" x14ac:dyDescent="0.2">
      <c r="B109" s="124"/>
      <c r="C109" s="124"/>
    </row>
    <row r="110" spans="2:3" x14ac:dyDescent="0.2">
      <c r="B110" s="124"/>
      <c r="C110" s="124"/>
    </row>
    <row r="111" spans="2:3" x14ac:dyDescent="0.2">
      <c r="B111" s="124"/>
      <c r="C111" s="124"/>
    </row>
    <row r="112" spans="2:3" x14ac:dyDescent="0.2">
      <c r="B112" s="124"/>
      <c r="C112" s="124"/>
    </row>
    <row r="113" spans="2:3" x14ac:dyDescent="0.2">
      <c r="B113" s="124"/>
      <c r="C113" s="124"/>
    </row>
    <row r="114" spans="2:3" x14ac:dyDescent="0.2">
      <c r="B114" s="124"/>
      <c r="C114" s="124"/>
    </row>
    <row r="115" spans="2:3" x14ac:dyDescent="0.2">
      <c r="B115" s="124"/>
      <c r="C115" s="124"/>
    </row>
    <row r="116" spans="2:3" x14ac:dyDescent="0.2">
      <c r="B116" s="124"/>
      <c r="C116" s="124"/>
    </row>
    <row r="117" spans="2:3" x14ac:dyDescent="0.2">
      <c r="B117" s="124"/>
      <c r="C117" s="124"/>
    </row>
    <row r="118" spans="2:3" x14ac:dyDescent="0.2">
      <c r="B118" s="124"/>
      <c r="C118" s="124"/>
    </row>
    <row r="119" spans="2:3" x14ac:dyDescent="0.2">
      <c r="B119" s="124"/>
      <c r="C119" s="124"/>
    </row>
    <row r="120" spans="2:3" x14ac:dyDescent="0.2">
      <c r="B120" s="124"/>
      <c r="C120" s="124"/>
    </row>
    <row r="121" spans="2:3" x14ac:dyDescent="0.2">
      <c r="B121" s="124"/>
      <c r="C121" s="124"/>
    </row>
    <row r="122" spans="2:3" x14ac:dyDescent="0.2">
      <c r="B122" s="124"/>
      <c r="C122" s="124"/>
    </row>
    <row r="123" spans="2:3" x14ac:dyDescent="0.2">
      <c r="B123" s="124"/>
      <c r="C123" s="124"/>
    </row>
    <row r="124" spans="2:3" x14ac:dyDescent="0.2">
      <c r="B124" s="124"/>
      <c r="C124" s="124"/>
    </row>
    <row r="125" spans="2:3" x14ac:dyDescent="0.2">
      <c r="B125" s="124"/>
      <c r="C125" s="124"/>
    </row>
    <row r="126" spans="2:3" x14ac:dyDescent="0.2">
      <c r="B126" s="124"/>
      <c r="C126" s="124"/>
    </row>
    <row r="127" spans="2:3" x14ac:dyDescent="0.2">
      <c r="B127" s="124"/>
      <c r="C127" s="124"/>
    </row>
    <row r="128" spans="2:3" x14ac:dyDescent="0.2">
      <c r="B128" s="124"/>
      <c r="C128" s="124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zoomScale="85" zoomScaleNormal="85" workbookViewId="0">
      <selection activeCell="Q2" sqref="Q2"/>
    </sheetView>
  </sheetViews>
  <sheetFormatPr defaultRowHeight="12.75" x14ac:dyDescent="0.2"/>
  <cols>
    <col min="1" max="1" width="11.7109375" style="14" customWidth="1"/>
    <col min="2" max="2" width="10.85546875" style="131" customWidth="1"/>
    <col min="3" max="3" width="26.28515625" style="131" customWidth="1"/>
    <col min="4" max="4" width="9.28515625" style="131" customWidth="1"/>
    <col min="5" max="5" width="10" style="131" customWidth="1"/>
    <col min="6" max="6" width="9.85546875" style="131" customWidth="1"/>
    <col min="7" max="7" width="10.28515625" style="131" customWidth="1"/>
    <col min="8" max="8" width="9.42578125" style="131" customWidth="1"/>
    <col min="9" max="9" width="8" style="131" customWidth="1"/>
    <col min="10" max="10" width="8.85546875" style="131"/>
    <col min="11" max="11" width="10.28515625" style="52" customWidth="1"/>
    <col min="12" max="12" width="18.140625" style="131" customWidth="1"/>
    <col min="13" max="13" width="15.85546875" style="131" customWidth="1"/>
    <col min="14" max="14" width="27.5703125" style="131" customWidth="1"/>
    <col min="15" max="15" width="17.28515625" style="131" customWidth="1"/>
    <col min="16" max="16" width="24.7109375" style="131" customWidth="1"/>
    <col min="17" max="17" width="10" style="131" customWidth="1"/>
    <col min="18" max="18" width="10.85546875" style="131" customWidth="1"/>
    <col min="19" max="255" width="8.85546875" style="131"/>
    <col min="256" max="256" width="9" style="131" customWidth="1"/>
    <col min="257" max="257" width="10.85546875" style="131" customWidth="1"/>
    <col min="258" max="258" width="20.28515625" style="131" customWidth="1"/>
    <col min="259" max="259" width="6.28515625" style="131" customWidth="1"/>
    <col min="260" max="260" width="10" style="131" customWidth="1"/>
    <col min="261" max="261" width="9.85546875" style="131" customWidth="1"/>
    <col min="262" max="262" width="7.42578125" style="131" customWidth="1"/>
    <col min="263" max="263" width="9.42578125" style="131" customWidth="1"/>
    <col min="264" max="264" width="6.7109375" style="131" customWidth="1"/>
    <col min="265" max="511" width="8.85546875" style="131"/>
    <col min="512" max="512" width="9" style="131" customWidth="1"/>
    <col min="513" max="513" width="10.85546875" style="131" customWidth="1"/>
    <col min="514" max="514" width="20.28515625" style="131" customWidth="1"/>
    <col min="515" max="515" width="6.28515625" style="131" customWidth="1"/>
    <col min="516" max="516" width="10" style="131" customWidth="1"/>
    <col min="517" max="517" width="9.85546875" style="131" customWidth="1"/>
    <col min="518" max="518" width="7.42578125" style="131" customWidth="1"/>
    <col min="519" max="519" width="9.42578125" style="131" customWidth="1"/>
    <col min="520" max="520" width="6.7109375" style="131" customWidth="1"/>
    <col min="521" max="767" width="8.85546875" style="131"/>
    <col min="768" max="768" width="9" style="131" customWidth="1"/>
    <col min="769" max="769" width="10.85546875" style="131" customWidth="1"/>
    <col min="770" max="770" width="20.28515625" style="131" customWidth="1"/>
    <col min="771" max="771" width="6.28515625" style="131" customWidth="1"/>
    <col min="772" max="772" width="10" style="131" customWidth="1"/>
    <col min="773" max="773" width="9.85546875" style="131" customWidth="1"/>
    <col min="774" max="774" width="7.42578125" style="131" customWidth="1"/>
    <col min="775" max="775" width="9.42578125" style="131" customWidth="1"/>
    <col min="776" max="776" width="6.7109375" style="131" customWidth="1"/>
    <col min="777" max="1023" width="8.85546875" style="131"/>
    <col min="1024" max="1024" width="9" style="131" customWidth="1"/>
    <col min="1025" max="1025" width="10.85546875" style="131" customWidth="1"/>
    <col min="1026" max="1026" width="20.28515625" style="131" customWidth="1"/>
    <col min="1027" max="1027" width="6.28515625" style="131" customWidth="1"/>
    <col min="1028" max="1028" width="10" style="131" customWidth="1"/>
    <col min="1029" max="1029" width="9.85546875" style="131" customWidth="1"/>
    <col min="1030" max="1030" width="7.42578125" style="131" customWidth="1"/>
    <col min="1031" max="1031" width="9.42578125" style="131" customWidth="1"/>
    <col min="1032" max="1032" width="6.7109375" style="131" customWidth="1"/>
    <col min="1033" max="1279" width="8.85546875" style="131"/>
    <col min="1280" max="1280" width="9" style="131" customWidth="1"/>
    <col min="1281" max="1281" width="10.85546875" style="131" customWidth="1"/>
    <col min="1282" max="1282" width="20.28515625" style="131" customWidth="1"/>
    <col min="1283" max="1283" width="6.28515625" style="131" customWidth="1"/>
    <col min="1284" max="1284" width="10" style="131" customWidth="1"/>
    <col min="1285" max="1285" width="9.85546875" style="131" customWidth="1"/>
    <col min="1286" max="1286" width="7.42578125" style="131" customWidth="1"/>
    <col min="1287" max="1287" width="9.42578125" style="131" customWidth="1"/>
    <col min="1288" max="1288" width="6.7109375" style="131" customWidth="1"/>
    <col min="1289" max="1535" width="8.85546875" style="131"/>
    <col min="1536" max="1536" width="9" style="131" customWidth="1"/>
    <col min="1537" max="1537" width="10.85546875" style="131" customWidth="1"/>
    <col min="1538" max="1538" width="20.28515625" style="131" customWidth="1"/>
    <col min="1539" max="1539" width="6.28515625" style="131" customWidth="1"/>
    <col min="1540" max="1540" width="10" style="131" customWidth="1"/>
    <col min="1541" max="1541" width="9.85546875" style="131" customWidth="1"/>
    <col min="1542" max="1542" width="7.42578125" style="131" customWidth="1"/>
    <col min="1543" max="1543" width="9.42578125" style="131" customWidth="1"/>
    <col min="1544" max="1544" width="6.7109375" style="131" customWidth="1"/>
    <col min="1545" max="1791" width="8.85546875" style="131"/>
    <col min="1792" max="1792" width="9" style="131" customWidth="1"/>
    <col min="1793" max="1793" width="10.85546875" style="131" customWidth="1"/>
    <col min="1794" max="1794" width="20.28515625" style="131" customWidth="1"/>
    <col min="1795" max="1795" width="6.28515625" style="131" customWidth="1"/>
    <col min="1796" max="1796" width="10" style="131" customWidth="1"/>
    <col min="1797" max="1797" width="9.85546875" style="131" customWidth="1"/>
    <col min="1798" max="1798" width="7.42578125" style="131" customWidth="1"/>
    <col min="1799" max="1799" width="9.42578125" style="131" customWidth="1"/>
    <col min="1800" max="1800" width="6.7109375" style="131" customWidth="1"/>
    <col min="1801" max="2047" width="8.85546875" style="131"/>
    <col min="2048" max="2048" width="9" style="131" customWidth="1"/>
    <col min="2049" max="2049" width="10.85546875" style="131" customWidth="1"/>
    <col min="2050" max="2050" width="20.28515625" style="131" customWidth="1"/>
    <col min="2051" max="2051" width="6.28515625" style="131" customWidth="1"/>
    <col min="2052" max="2052" width="10" style="131" customWidth="1"/>
    <col min="2053" max="2053" width="9.85546875" style="131" customWidth="1"/>
    <col min="2054" max="2054" width="7.42578125" style="131" customWidth="1"/>
    <col min="2055" max="2055" width="9.42578125" style="131" customWidth="1"/>
    <col min="2056" max="2056" width="6.7109375" style="131" customWidth="1"/>
    <col min="2057" max="2303" width="8.85546875" style="131"/>
    <col min="2304" max="2304" width="9" style="131" customWidth="1"/>
    <col min="2305" max="2305" width="10.85546875" style="131" customWidth="1"/>
    <col min="2306" max="2306" width="20.28515625" style="131" customWidth="1"/>
    <col min="2307" max="2307" width="6.28515625" style="131" customWidth="1"/>
    <col min="2308" max="2308" width="10" style="131" customWidth="1"/>
    <col min="2309" max="2309" width="9.85546875" style="131" customWidth="1"/>
    <col min="2310" max="2310" width="7.42578125" style="131" customWidth="1"/>
    <col min="2311" max="2311" width="9.42578125" style="131" customWidth="1"/>
    <col min="2312" max="2312" width="6.7109375" style="131" customWidth="1"/>
    <col min="2313" max="2559" width="8.85546875" style="131"/>
    <col min="2560" max="2560" width="9" style="131" customWidth="1"/>
    <col min="2561" max="2561" width="10.85546875" style="131" customWidth="1"/>
    <col min="2562" max="2562" width="20.28515625" style="131" customWidth="1"/>
    <col min="2563" max="2563" width="6.28515625" style="131" customWidth="1"/>
    <col min="2564" max="2564" width="10" style="131" customWidth="1"/>
    <col min="2565" max="2565" width="9.85546875" style="131" customWidth="1"/>
    <col min="2566" max="2566" width="7.42578125" style="131" customWidth="1"/>
    <col min="2567" max="2567" width="9.42578125" style="131" customWidth="1"/>
    <col min="2568" max="2568" width="6.7109375" style="131" customWidth="1"/>
    <col min="2569" max="2815" width="8.85546875" style="131"/>
    <col min="2816" max="2816" width="9" style="131" customWidth="1"/>
    <col min="2817" max="2817" width="10.85546875" style="131" customWidth="1"/>
    <col min="2818" max="2818" width="20.28515625" style="131" customWidth="1"/>
    <col min="2819" max="2819" width="6.28515625" style="131" customWidth="1"/>
    <col min="2820" max="2820" width="10" style="131" customWidth="1"/>
    <col min="2821" max="2821" width="9.85546875" style="131" customWidth="1"/>
    <col min="2822" max="2822" width="7.42578125" style="131" customWidth="1"/>
    <col min="2823" max="2823" width="9.42578125" style="131" customWidth="1"/>
    <col min="2824" max="2824" width="6.7109375" style="131" customWidth="1"/>
    <col min="2825" max="3071" width="8.85546875" style="131"/>
    <col min="3072" max="3072" width="9" style="131" customWidth="1"/>
    <col min="3073" max="3073" width="10.85546875" style="131" customWidth="1"/>
    <col min="3074" max="3074" width="20.28515625" style="131" customWidth="1"/>
    <col min="3075" max="3075" width="6.28515625" style="131" customWidth="1"/>
    <col min="3076" max="3076" width="10" style="131" customWidth="1"/>
    <col min="3077" max="3077" width="9.85546875" style="131" customWidth="1"/>
    <col min="3078" max="3078" width="7.42578125" style="131" customWidth="1"/>
    <col min="3079" max="3079" width="9.42578125" style="131" customWidth="1"/>
    <col min="3080" max="3080" width="6.7109375" style="131" customWidth="1"/>
    <col min="3081" max="3327" width="8.85546875" style="131"/>
    <col min="3328" max="3328" width="9" style="131" customWidth="1"/>
    <col min="3329" max="3329" width="10.85546875" style="131" customWidth="1"/>
    <col min="3330" max="3330" width="20.28515625" style="131" customWidth="1"/>
    <col min="3331" max="3331" width="6.28515625" style="131" customWidth="1"/>
    <col min="3332" max="3332" width="10" style="131" customWidth="1"/>
    <col min="3333" max="3333" width="9.85546875" style="131" customWidth="1"/>
    <col min="3334" max="3334" width="7.42578125" style="131" customWidth="1"/>
    <col min="3335" max="3335" width="9.42578125" style="131" customWidth="1"/>
    <col min="3336" max="3336" width="6.7109375" style="131" customWidth="1"/>
    <col min="3337" max="3583" width="8.85546875" style="131"/>
    <col min="3584" max="3584" width="9" style="131" customWidth="1"/>
    <col min="3585" max="3585" width="10.85546875" style="131" customWidth="1"/>
    <col min="3586" max="3586" width="20.28515625" style="131" customWidth="1"/>
    <col min="3587" max="3587" width="6.28515625" style="131" customWidth="1"/>
    <col min="3588" max="3588" width="10" style="131" customWidth="1"/>
    <col min="3589" max="3589" width="9.85546875" style="131" customWidth="1"/>
    <col min="3590" max="3590" width="7.42578125" style="131" customWidth="1"/>
    <col min="3591" max="3591" width="9.42578125" style="131" customWidth="1"/>
    <col min="3592" max="3592" width="6.7109375" style="131" customWidth="1"/>
    <col min="3593" max="3839" width="8.85546875" style="131"/>
    <col min="3840" max="3840" width="9" style="131" customWidth="1"/>
    <col min="3841" max="3841" width="10.85546875" style="131" customWidth="1"/>
    <col min="3842" max="3842" width="20.28515625" style="131" customWidth="1"/>
    <col min="3843" max="3843" width="6.28515625" style="131" customWidth="1"/>
    <col min="3844" max="3844" width="10" style="131" customWidth="1"/>
    <col min="3845" max="3845" width="9.85546875" style="131" customWidth="1"/>
    <col min="3846" max="3846" width="7.42578125" style="131" customWidth="1"/>
    <col min="3847" max="3847" width="9.42578125" style="131" customWidth="1"/>
    <col min="3848" max="3848" width="6.7109375" style="131" customWidth="1"/>
    <col min="3849" max="4095" width="8.85546875" style="131"/>
    <col min="4096" max="4096" width="9" style="131" customWidth="1"/>
    <col min="4097" max="4097" width="10.85546875" style="131" customWidth="1"/>
    <col min="4098" max="4098" width="20.28515625" style="131" customWidth="1"/>
    <col min="4099" max="4099" width="6.28515625" style="131" customWidth="1"/>
    <col min="4100" max="4100" width="10" style="131" customWidth="1"/>
    <col min="4101" max="4101" width="9.85546875" style="131" customWidth="1"/>
    <col min="4102" max="4102" width="7.42578125" style="131" customWidth="1"/>
    <col min="4103" max="4103" width="9.42578125" style="131" customWidth="1"/>
    <col min="4104" max="4104" width="6.7109375" style="131" customWidth="1"/>
    <col min="4105" max="4351" width="8.85546875" style="131"/>
    <col min="4352" max="4352" width="9" style="131" customWidth="1"/>
    <col min="4353" max="4353" width="10.85546875" style="131" customWidth="1"/>
    <col min="4354" max="4354" width="20.28515625" style="131" customWidth="1"/>
    <col min="4355" max="4355" width="6.28515625" style="131" customWidth="1"/>
    <col min="4356" max="4356" width="10" style="131" customWidth="1"/>
    <col min="4357" max="4357" width="9.85546875" style="131" customWidth="1"/>
    <col min="4358" max="4358" width="7.42578125" style="131" customWidth="1"/>
    <col min="4359" max="4359" width="9.42578125" style="131" customWidth="1"/>
    <col min="4360" max="4360" width="6.7109375" style="131" customWidth="1"/>
    <col min="4361" max="4607" width="8.85546875" style="131"/>
    <col min="4608" max="4608" width="9" style="131" customWidth="1"/>
    <col min="4609" max="4609" width="10.85546875" style="131" customWidth="1"/>
    <col min="4610" max="4610" width="20.28515625" style="131" customWidth="1"/>
    <col min="4611" max="4611" width="6.28515625" style="131" customWidth="1"/>
    <col min="4612" max="4612" width="10" style="131" customWidth="1"/>
    <col min="4613" max="4613" width="9.85546875" style="131" customWidth="1"/>
    <col min="4614" max="4614" width="7.42578125" style="131" customWidth="1"/>
    <col min="4615" max="4615" width="9.42578125" style="131" customWidth="1"/>
    <col min="4616" max="4616" width="6.7109375" style="131" customWidth="1"/>
    <col min="4617" max="4863" width="8.85546875" style="131"/>
    <col min="4864" max="4864" width="9" style="131" customWidth="1"/>
    <col min="4865" max="4865" width="10.85546875" style="131" customWidth="1"/>
    <col min="4866" max="4866" width="20.28515625" style="131" customWidth="1"/>
    <col min="4867" max="4867" width="6.28515625" style="131" customWidth="1"/>
    <col min="4868" max="4868" width="10" style="131" customWidth="1"/>
    <col min="4869" max="4869" width="9.85546875" style="131" customWidth="1"/>
    <col min="4870" max="4870" width="7.42578125" style="131" customWidth="1"/>
    <col min="4871" max="4871" width="9.42578125" style="131" customWidth="1"/>
    <col min="4872" max="4872" width="6.7109375" style="131" customWidth="1"/>
    <col min="4873" max="5119" width="8.85546875" style="131"/>
    <col min="5120" max="5120" width="9" style="131" customWidth="1"/>
    <col min="5121" max="5121" width="10.85546875" style="131" customWidth="1"/>
    <col min="5122" max="5122" width="20.28515625" style="131" customWidth="1"/>
    <col min="5123" max="5123" width="6.28515625" style="131" customWidth="1"/>
    <col min="5124" max="5124" width="10" style="131" customWidth="1"/>
    <col min="5125" max="5125" width="9.85546875" style="131" customWidth="1"/>
    <col min="5126" max="5126" width="7.42578125" style="131" customWidth="1"/>
    <col min="5127" max="5127" width="9.42578125" style="131" customWidth="1"/>
    <col min="5128" max="5128" width="6.7109375" style="131" customWidth="1"/>
    <col min="5129" max="5375" width="8.85546875" style="131"/>
    <col min="5376" max="5376" width="9" style="131" customWidth="1"/>
    <col min="5377" max="5377" width="10.85546875" style="131" customWidth="1"/>
    <col min="5378" max="5378" width="20.28515625" style="131" customWidth="1"/>
    <col min="5379" max="5379" width="6.28515625" style="131" customWidth="1"/>
    <col min="5380" max="5380" width="10" style="131" customWidth="1"/>
    <col min="5381" max="5381" width="9.85546875" style="131" customWidth="1"/>
    <col min="5382" max="5382" width="7.42578125" style="131" customWidth="1"/>
    <col min="5383" max="5383" width="9.42578125" style="131" customWidth="1"/>
    <col min="5384" max="5384" width="6.7109375" style="131" customWidth="1"/>
    <col min="5385" max="5631" width="8.85546875" style="131"/>
    <col min="5632" max="5632" width="9" style="131" customWidth="1"/>
    <col min="5633" max="5633" width="10.85546875" style="131" customWidth="1"/>
    <col min="5634" max="5634" width="20.28515625" style="131" customWidth="1"/>
    <col min="5635" max="5635" width="6.28515625" style="131" customWidth="1"/>
    <col min="5636" max="5636" width="10" style="131" customWidth="1"/>
    <col min="5637" max="5637" width="9.85546875" style="131" customWidth="1"/>
    <col min="5638" max="5638" width="7.42578125" style="131" customWidth="1"/>
    <col min="5639" max="5639" width="9.42578125" style="131" customWidth="1"/>
    <col min="5640" max="5640" width="6.7109375" style="131" customWidth="1"/>
    <col min="5641" max="5887" width="8.85546875" style="131"/>
    <col min="5888" max="5888" width="9" style="131" customWidth="1"/>
    <col min="5889" max="5889" width="10.85546875" style="131" customWidth="1"/>
    <col min="5890" max="5890" width="20.28515625" style="131" customWidth="1"/>
    <col min="5891" max="5891" width="6.28515625" style="131" customWidth="1"/>
    <col min="5892" max="5892" width="10" style="131" customWidth="1"/>
    <col min="5893" max="5893" width="9.85546875" style="131" customWidth="1"/>
    <col min="5894" max="5894" width="7.42578125" style="131" customWidth="1"/>
    <col min="5895" max="5895" width="9.42578125" style="131" customWidth="1"/>
    <col min="5896" max="5896" width="6.7109375" style="131" customWidth="1"/>
    <col min="5897" max="6143" width="8.85546875" style="131"/>
    <col min="6144" max="6144" width="9" style="131" customWidth="1"/>
    <col min="6145" max="6145" width="10.85546875" style="131" customWidth="1"/>
    <col min="6146" max="6146" width="20.28515625" style="131" customWidth="1"/>
    <col min="6147" max="6147" width="6.28515625" style="131" customWidth="1"/>
    <col min="6148" max="6148" width="10" style="131" customWidth="1"/>
    <col min="6149" max="6149" width="9.85546875" style="131" customWidth="1"/>
    <col min="6150" max="6150" width="7.42578125" style="131" customWidth="1"/>
    <col min="6151" max="6151" width="9.42578125" style="131" customWidth="1"/>
    <col min="6152" max="6152" width="6.7109375" style="131" customWidth="1"/>
    <col min="6153" max="6399" width="8.85546875" style="131"/>
    <col min="6400" max="6400" width="9" style="131" customWidth="1"/>
    <col min="6401" max="6401" width="10.85546875" style="131" customWidth="1"/>
    <col min="6402" max="6402" width="20.28515625" style="131" customWidth="1"/>
    <col min="6403" max="6403" width="6.28515625" style="131" customWidth="1"/>
    <col min="6404" max="6404" width="10" style="131" customWidth="1"/>
    <col min="6405" max="6405" width="9.85546875" style="131" customWidth="1"/>
    <col min="6406" max="6406" width="7.42578125" style="131" customWidth="1"/>
    <col min="6407" max="6407" width="9.42578125" style="131" customWidth="1"/>
    <col min="6408" max="6408" width="6.7109375" style="131" customWidth="1"/>
    <col min="6409" max="6655" width="8.85546875" style="131"/>
    <col min="6656" max="6656" width="9" style="131" customWidth="1"/>
    <col min="6657" max="6657" width="10.85546875" style="131" customWidth="1"/>
    <col min="6658" max="6658" width="20.28515625" style="131" customWidth="1"/>
    <col min="6659" max="6659" width="6.28515625" style="131" customWidth="1"/>
    <col min="6660" max="6660" width="10" style="131" customWidth="1"/>
    <col min="6661" max="6661" width="9.85546875" style="131" customWidth="1"/>
    <col min="6662" max="6662" width="7.42578125" style="131" customWidth="1"/>
    <col min="6663" max="6663" width="9.42578125" style="131" customWidth="1"/>
    <col min="6664" max="6664" width="6.7109375" style="131" customWidth="1"/>
    <col min="6665" max="6911" width="8.85546875" style="131"/>
    <col min="6912" max="6912" width="9" style="131" customWidth="1"/>
    <col min="6913" max="6913" width="10.85546875" style="131" customWidth="1"/>
    <col min="6914" max="6914" width="20.28515625" style="131" customWidth="1"/>
    <col min="6915" max="6915" width="6.28515625" style="131" customWidth="1"/>
    <col min="6916" max="6916" width="10" style="131" customWidth="1"/>
    <col min="6917" max="6917" width="9.85546875" style="131" customWidth="1"/>
    <col min="6918" max="6918" width="7.42578125" style="131" customWidth="1"/>
    <col min="6919" max="6919" width="9.42578125" style="131" customWidth="1"/>
    <col min="6920" max="6920" width="6.7109375" style="131" customWidth="1"/>
    <col min="6921" max="7167" width="8.85546875" style="131"/>
    <col min="7168" max="7168" width="9" style="131" customWidth="1"/>
    <col min="7169" max="7169" width="10.85546875" style="131" customWidth="1"/>
    <col min="7170" max="7170" width="20.28515625" style="131" customWidth="1"/>
    <col min="7171" max="7171" width="6.28515625" style="131" customWidth="1"/>
    <col min="7172" max="7172" width="10" style="131" customWidth="1"/>
    <col min="7173" max="7173" width="9.85546875" style="131" customWidth="1"/>
    <col min="7174" max="7174" width="7.42578125" style="131" customWidth="1"/>
    <col min="7175" max="7175" width="9.42578125" style="131" customWidth="1"/>
    <col min="7176" max="7176" width="6.7109375" style="131" customWidth="1"/>
    <col min="7177" max="7423" width="8.85546875" style="131"/>
    <col min="7424" max="7424" width="9" style="131" customWidth="1"/>
    <col min="7425" max="7425" width="10.85546875" style="131" customWidth="1"/>
    <col min="7426" max="7426" width="20.28515625" style="131" customWidth="1"/>
    <col min="7427" max="7427" width="6.28515625" style="131" customWidth="1"/>
    <col min="7428" max="7428" width="10" style="131" customWidth="1"/>
    <col min="7429" max="7429" width="9.85546875" style="131" customWidth="1"/>
    <col min="7430" max="7430" width="7.42578125" style="131" customWidth="1"/>
    <col min="7431" max="7431" width="9.42578125" style="131" customWidth="1"/>
    <col min="7432" max="7432" width="6.7109375" style="131" customWidth="1"/>
    <col min="7433" max="7679" width="8.85546875" style="131"/>
    <col min="7680" max="7680" width="9" style="131" customWidth="1"/>
    <col min="7681" max="7681" width="10.85546875" style="131" customWidth="1"/>
    <col min="7682" max="7682" width="20.28515625" style="131" customWidth="1"/>
    <col min="7683" max="7683" width="6.28515625" style="131" customWidth="1"/>
    <col min="7684" max="7684" width="10" style="131" customWidth="1"/>
    <col min="7685" max="7685" width="9.85546875" style="131" customWidth="1"/>
    <col min="7686" max="7686" width="7.42578125" style="131" customWidth="1"/>
    <col min="7687" max="7687" width="9.42578125" style="131" customWidth="1"/>
    <col min="7688" max="7688" width="6.7109375" style="131" customWidth="1"/>
    <col min="7689" max="7935" width="8.85546875" style="131"/>
    <col min="7936" max="7936" width="9" style="131" customWidth="1"/>
    <col min="7937" max="7937" width="10.85546875" style="131" customWidth="1"/>
    <col min="7938" max="7938" width="20.28515625" style="131" customWidth="1"/>
    <col min="7939" max="7939" width="6.28515625" style="131" customWidth="1"/>
    <col min="7940" max="7940" width="10" style="131" customWidth="1"/>
    <col min="7941" max="7941" width="9.85546875" style="131" customWidth="1"/>
    <col min="7942" max="7942" width="7.42578125" style="131" customWidth="1"/>
    <col min="7943" max="7943" width="9.42578125" style="131" customWidth="1"/>
    <col min="7944" max="7944" width="6.7109375" style="131" customWidth="1"/>
    <col min="7945" max="8191" width="8.85546875" style="131"/>
    <col min="8192" max="8192" width="9" style="131" customWidth="1"/>
    <col min="8193" max="8193" width="10.85546875" style="131" customWidth="1"/>
    <col min="8194" max="8194" width="20.28515625" style="131" customWidth="1"/>
    <col min="8195" max="8195" width="6.28515625" style="131" customWidth="1"/>
    <col min="8196" max="8196" width="10" style="131" customWidth="1"/>
    <col min="8197" max="8197" width="9.85546875" style="131" customWidth="1"/>
    <col min="8198" max="8198" width="7.42578125" style="131" customWidth="1"/>
    <col min="8199" max="8199" width="9.42578125" style="131" customWidth="1"/>
    <col min="8200" max="8200" width="6.7109375" style="131" customWidth="1"/>
    <col min="8201" max="8447" width="8.85546875" style="131"/>
    <col min="8448" max="8448" width="9" style="131" customWidth="1"/>
    <col min="8449" max="8449" width="10.85546875" style="131" customWidth="1"/>
    <col min="8450" max="8450" width="20.28515625" style="131" customWidth="1"/>
    <col min="8451" max="8451" width="6.28515625" style="131" customWidth="1"/>
    <col min="8452" max="8452" width="10" style="131" customWidth="1"/>
    <col min="8453" max="8453" width="9.85546875" style="131" customWidth="1"/>
    <col min="8454" max="8454" width="7.42578125" style="131" customWidth="1"/>
    <col min="8455" max="8455" width="9.42578125" style="131" customWidth="1"/>
    <col min="8456" max="8456" width="6.7109375" style="131" customWidth="1"/>
    <col min="8457" max="8703" width="8.85546875" style="131"/>
    <col min="8704" max="8704" width="9" style="131" customWidth="1"/>
    <col min="8705" max="8705" width="10.85546875" style="131" customWidth="1"/>
    <col min="8706" max="8706" width="20.28515625" style="131" customWidth="1"/>
    <col min="8707" max="8707" width="6.28515625" style="131" customWidth="1"/>
    <col min="8708" max="8708" width="10" style="131" customWidth="1"/>
    <col min="8709" max="8709" width="9.85546875" style="131" customWidth="1"/>
    <col min="8710" max="8710" width="7.42578125" style="131" customWidth="1"/>
    <col min="8711" max="8711" width="9.42578125" style="131" customWidth="1"/>
    <col min="8712" max="8712" width="6.7109375" style="131" customWidth="1"/>
    <col min="8713" max="8959" width="8.85546875" style="131"/>
    <col min="8960" max="8960" width="9" style="131" customWidth="1"/>
    <col min="8961" max="8961" width="10.85546875" style="131" customWidth="1"/>
    <col min="8962" max="8962" width="20.28515625" style="131" customWidth="1"/>
    <col min="8963" max="8963" width="6.28515625" style="131" customWidth="1"/>
    <col min="8964" max="8964" width="10" style="131" customWidth="1"/>
    <col min="8965" max="8965" width="9.85546875" style="131" customWidth="1"/>
    <col min="8966" max="8966" width="7.42578125" style="131" customWidth="1"/>
    <col min="8967" max="8967" width="9.42578125" style="131" customWidth="1"/>
    <col min="8968" max="8968" width="6.7109375" style="131" customWidth="1"/>
    <col min="8969" max="9215" width="8.85546875" style="131"/>
    <col min="9216" max="9216" width="9" style="131" customWidth="1"/>
    <col min="9217" max="9217" width="10.85546875" style="131" customWidth="1"/>
    <col min="9218" max="9218" width="20.28515625" style="131" customWidth="1"/>
    <col min="9219" max="9219" width="6.28515625" style="131" customWidth="1"/>
    <col min="9220" max="9220" width="10" style="131" customWidth="1"/>
    <col min="9221" max="9221" width="9.85546875" style="131" customWidth="1"/>
    <col min="9222" max="9222" width="7.42578125" style="131" customWidth="1"/>
    <col min="9223" max="9223" width="9.42578125" style="131" customWidth="1"/>
    <col min="9224" max="9224" width="6.7109375" style="131" customWidth="1"/>
    <col min="9225" max="9471" width="8.85546875" style="131"/>
    <col min="9472" max="9472" width="9" style="131" customWidth="1"/>
    <col min="9473" max="9473" width="10.85546875" style="131" customWidth="1"/>
    <col min="9474" max="9474" width="20.28515625" style="131" customWidth="1"/>
    <col min="9475" max="9475" width="6.28515625" style="131" customWidth="1"/>
    <col min="9476" max="9476" width="10" style="131" customWidth="1"/>
    <col min="9477" max="9477" width="9.85546875" style="131" customWidth="1"/>
    <col min="9478" max="9478" width="7.42578125" style="131" customWidth="1"/>
    <col min="9479" max="9479" width="9.42578125" style="131" customWidth="1"/>
    <col min="9480" max="9480" width="6.7109375" style="131" customWidth="1"/>
    <col min="9481" max="9727" width="8.85546875" style="131"/>
    <col min="9728" max="9728" width="9" style="131" customWidth="1"/>
    <col min="9729" max="9729" width="10.85546875" style="131" customWidth="1"/>
    <col min="9730" max="9730" width="20.28515625" style="131" customWidth="1"/>
    <col min="9731" max="9731" width="6.28515625" style="131" customWidth="1"/>
    <col min="9732" max="9732" width="10" style="131" customWidth="1"/>
    <col min="9733" max="9733" width="9.85546875" style="131" customWidth="1"/>
    <col min="9734" max="9734" width="7.42578125" style="131" customWidth="1"/>
    <col min="9735" max="9735" width="9.42578125" style="131" customWidth="1"/>
    <col min="9736" max="9736" width="6.7109375" style="131" customWidth="1"/>
    <col min="9737" max="9983" width="8.85546875" style="131"/>
    <col min="9984" max="9984" width="9" style="131" customWidth="1"/>
    <col min="9985" max="9985" width="10.85546875" style="131" customWidth="1"/>
    <col min="9986" max="9986" width="20.28515625" style="131" customWidth="1"/>
    <col min="9987" max="9987" width="6.28515625" style="131" customWidth="1"/>
    <col min="9988" max="9988" width="10" style="131" customWidth="1"/>
    <col min="9989" max="9989" width="9.85546875" style="131" customWidth="1"/>
    <col min="9990" max="9990" width="7.42578125" style="131" customWidth="1"/>
    <col min="9991" max="9991" width="9.42578125" style="131" customWidth="1"/>
    <col min="9992" max="9992" width="6.7109375" style="131" customWidth="1"/>
    <col min="9993" max="10239" width="8.85546875" style="131"/>
    <col min="10240" max="10240" width="9" style="131" customWidth="1"/>
    <col min="10241" max="10241" width="10.85546875" style="131" customWidth="1"/>
    <col min="10242" max="10242" width="20.28515625" style="131" customWidth="1"/>
    <col min="10243" max="10243" width="6.28515625" style="131" customWidth="1"/>
    <col min="10244" max="10244" width="10" style="131" customWidth="1"/>
    <col min="10245" max="10245" width="9.85546875" style="131" customWidth="1"/>
    <col min="10246" max="10246" width="7.42578125" style="131" customWidth="1"/>
    <col min="10247" max="10247" width="9.42578125" style="131" customWidth="1"/>
    <col min="10248" max="10248" width="6.7109375" style="131" customWidth="1"/>
    <col min="10249" max="10495" width="8.85546875" style="131"/>
    <col min="10496" max="10496" width="9" style="131" customWidth="1"/>
    <col min="10497" max="10497" width="10.85546875" style="131" customWidth="1"/>
    <col min="10498" max="10498" width="20.28515625" style="131" customWidth="1"/>
    <col min="10499" max="10499" width="6.28515625" style="131" customWidth="1"/>
    <col min="10500" max="10500" width="10" style="131" customWidth="1"/>
    <col min="10501" max="10501" width="9.85546875" style="131" customWidth="1"/>
    <col min="10502" max="10502" width="7.42578125" style="131" customWidth="1"/>
    <col min="10503" max="10503" width="9.42578125" style="131" customWidth="1"/>
    <col min="10504" max="10504" width="6.7109375" style="131" customWidth="1"/>
    <col min="10505" max="10751" width="8.85546875" style="131"/>
    <col min="10752" max="10752" width="9" style="131" customWidth="1"/>
    <col min="10753" max="10753" width="10.85546875" style="131" customWidth="1"/>
    <col min="10754" max="10754" width="20.28515625" style="131" customWidth="1"/>
    <col min="10755" max="10755" width="6.28515625" style="131" customWidth="1"/>
    <col min="10756" max="10756" width="10" style="131" customWidth="1"/>
    <col min="10757" max="10757" width="9.85546875" style="131" customWidth="1"/>
    <col min="10758" max="10758" width="7.42578125" style="131" customWidth="1"/>
    <col min="10759" max="10759" width="9.42578125" style="131" customWidth="1"/>
    <col min="10760" max="10760" width="6.7109375" style="131" customWidth="1"/>
    <col min="10761" max="11007" width="8.85546875" style="131"/>
    <col min="11008" max="11008" width="9" style="131" customWidth="1"/>
    <col min="11009" max="11009" width="10.85546875" style="131" customWidth="1"/>
    <col min="11010" max="11010" width="20.28515625" style="131" customWidth="1"/>
    <col min="11011" max="11011" width="6.28515625" style="131" customWidth="1"/>
    <col min="11012" max="11012" width="10" style="131" customWidth="1"/>
    <col min="11013" max="11013" width="9.85546875" style="131" customWidth="1"/>
    <col min="11014" max="11014" width="7.42578125" style="131" customWidth="1"/>
    <col min="11015" max="11015" width="9.42578125" style="131" customWidth="1"/>
    <col min="11016" max="11016" width="6.7109375" style="131" customWidth="1"/>
    <col min="11017" max="11263" width="8.85546875" style="131"/>
    <col min="11264" max="11264" width="9" style="131" customWidth="1"/>
    <col min="11265" max="11265" width="10.85546875" style="131" customWidth="1"/>
    <col min="11266" max="11266" width="20.28515625" style="131" customWidth="1"/>
    <col min="11267" max="11267" width="6.28515625" style="131" customWidth="1"/>
    <col min="11268" max="11268" width="10" style="131" customWidth="1"/>
    <col min="11269" max="11269" width="9.85546875" style="131" customWidth="1"/>
    <col min="11270" max="11270" width="7.42578125" style="131" customWidth="1"/>
    <col min="11271" max="11271" width="9.42578125" style="131" customWidth="1"/>
    <col min="11272" max="11272" width="6.7109375" style="131" customWidth="1"/>
    <col min="11273" max="11519" width="8.85546875" style="131"/>
    <col min="11520" max="11520" width="9" style="131" customWidth="1"/>
    <col min="11521" max="11521" width="10.85546875" style="131" customWidth="1"/>
    <col min="11522" max="11522" width="20.28515625" style="131" customWidth="1"/>
    <col min="11523" max="11523" width="6.28515625" style="131" customWidth="1"/>
    <col min="11524" max="11524" width="10" style="131" customWidth="1"/>
    <col min="11525" max="11525" width="9.85546875" style="131" customWidth="1"/>
    <col min="11526" max="11526" width="7.42578125" style="131" customWidth="1"/>
    <col min="11527" max="11527" width="9.42578125" style="131" customWidth="1"/>
    <col min="11528" max="11528" width="6.7109375" style="131" customWidth="1"/>
    <col min="11529" max="11775" width="8.85546875" style="131"/>
    <col min="11776" max="11776" width="9" style="131" customWidth="1"/>
    <col min="11777" max="11777" width="10.85546875" style="131" customWidth="1"/>
    <col min="11778" max="11778" width="20.28515625" style="131" customWidth="1"/>
    <col min="11779" max="11779" width="6.28515625" style="131" customWidth="1"/>
    <col min="11780" max="11780" width="10" style="131" customWidth="1"/>
    <col min="11781" max="11781" width="9.85546875" style="131" customWidth="1"/>
    <col min="11782" max="11782" width="7.42578125" style="131" customWidth="1"/>
    <col min="11783" max="11783" width="9.42578125" style="131" customWidth="1"/>
    <col min="11784" max="11784" width="6.7109375" style="131" customWidth="1"/>
    <col min="11785" max="12031" width="8.85546875" style="131"/>
    <col min="12032" max="12032" width="9" style="131" customWidth="1"/>
    <col min="12033" max="12033" width="10.85546875" style="131" customWidth="1"/>
    <col min="12034" max="12034" width="20.28515625" style="131" customWidth="1"/>
    <col min="12035" max="12035" width="6.28515625" style="131" customWidth="1"/>
    <col min="12036" max="12036" width="10" style="131" customWidth="1"/>
    <col min="12037" max="12037" width="9.85546875" style="131" customWidth="1"/>
    <col min="12038" max="12038" width="7.42578125" style="131" customWidth="1"/>
    <col min="12039" max="12039" width="9.42578125" style="131" customWidth="1"/>
    <col min="12040" max="12040" width="6.7109375" style="131" customWidth="1"/>
    <col min="12041" max="12287" width="8.85546875" style="131"/>
    <col min="12288" max="12288" width="9" style="131" customWidth="1"/>
    <col min="12289" max="12289" width="10.85546875" style="131" customWidth="1"/>
    <col min="12290" max="12290" width="20.28515625" style="131" customWidth="1"/>
    <col min="12291" max="12291" width="6.28515625" style="131" customWidth="1"/>
    <col min="12292" max="12292" width="10" style="131" customWidth="1"/>
    <col min="12293" max="12293" width="9.85546875" style="131" customWidth="1"/>
    <col min="12294" max="12294" width="7.42578125" style="131" customWidth="1"/>
    <col min="12295" max="12295" width="9.42578125" style="131" customWidth="1"/>
    <col min="12296" max="12296" width="6.7109375" style="131" customWidth="1"/>
    <col min="12297" max="12543" width="8.85546875" style="131"/>
    <col min="12544" max="12544" width="9" style="131" customWidth="1"/>
    <col min="12545" max="12545" width="10.85546875" style="131" customWidth="1"/>
    <col min="12546" max="12546" width="20.28515625" style="131" customWidth="1"/>
    <col min="12547" max="12547" width="6.28515625" style="131" customWidth="1"/>
    <col min="12548" max="12548" width="10" style="131" customWidth="1"/>
    <col min="12549" max="12549" width="9.85546875" style="131" customWidth="1"/>
    <col min="12550" max="12550" width="7.42578125" style="131" customWidth="1"/>
    <col min="12551" max="12551" width="9.42578125" style="131" customWidth="1"/>
    <col min="12552" max="12552" width="6.7109375" style="131" customWidth="1"/>
    <col min="12553" max="12799" width="8.85546875" style="131"/>
    <col min="12800" max="12800" width="9" style="131" customWidth="1"/>
    <col min="12801" max="12801" width="10.85546875" style="131" customWidth="1"/>
    <col min="12802" max="12802" width="20.28515625" style="131" customWidth="1"/>
    <col min="12803" max="12803" width="6.28515625" style="131" customWidth="1"/>
    <col min="12804" max="12804" width="10" style="131" customWidth="1"/>
    <col min="12805" max="12805" width="9.85546875" style="131" customWidth="1"/>
    <col min="12806" max="12806" width="7.42578125" style="131" customWidth="1"/>
    <col min="12807" max="12807" width="9.42578125" style="131" customWidth="1"/>
    <col min="12808" max="12808" width="6.7109375" style="131" customWidth="1"/>
    <col min="12809" max="13055" width="8.85546875" style="131"/>
    <col min="13056" max="13056" width="9" style="131" customWidth="1"/>
    <col min="13057" max="13057" width="10.85546875" style="131" customWidth="1"/>
    <col min="13058" max="13058" width="20.28515625" style="131" customWidth="1"/>
    <col min="13059" max="13059" width="6.28515625" style="131" customWidth="1"/>
    <col min="13060" max="13060" width="10" style="131" customWidth="1"/>
    <col min="13061" max="13061" width="9.85546875" style="131" customWidth="1"/>
    <col min="13062" max="13062" width="7.42578125" style="131" customWidth="1"/>
    <col min="13063" max="13063" width="9.42578125" style="131" customWidth="1"/>
    <col min="13064" max="13064" width="6.7109375" style="131" customWidth="1"/>
    <col min="13065" max="13311" width="8.85546875" style="131"/>
    <col min="13312" max="13312" width="9" style="131" customWidth="1"/>
    <col min="13313" max="13313" width="10.85546875" style="131" customWidth="1"/>
    <col min="13314" max="13314" width="20.28515625" style="131" customWidth="1"/>
    <col min="13315" max="13315" width="6.28515625" style="131" customWidth="1"/>
    <col min="13316" max="13316" width="10" style="131" customWidth="1"/>
    <col min="13317" max="13317" width="9.85546875" style="131" customWidth="1"/>
    <col min="13318" max="13318" width="7.42578125" style="131" customWidth="1"/>
    <col min="13319" max="13319" width="9.42578125" style="131" customWidth="1"/>
    <col min="13320" max="13320" width="6.7109375" style="131" customWidth="1"/>
    <col min="13321" max="13567" width="8.85546875" style="131"/>
    <col min="13568" max="13568" width="9" style="131" customWidth="1"/>
    <col min="13569" max="13569" width="10.85546875" style="131" customWidth="1"/>
    <col min="13570" max="13570" width="20.28515625" style="131" customWidth="1"/>
    <col min="13571" max="13571" width="6.28515625" style="131" customWidth="1"/>
    <col min="13572" max="13572" width="10" style="131" customWidth="1"/>
    <col min="13573" max="13573" width="9.85546875" style="131" customWidth="1"/>
    <col min="13574" max="13574" width="7.42578125" style="131" customWidth="1"/>
    <col min="13575" max="13575" width="9.42578125" style="131" customWidth="1"/>
    <col min="13576" max="13576" width="6.7109375" style="131" customWidth="1"/>
    <col min="13577" max="13823" width="8.85546875" style="131"/>
    <col min="13824" max="13824" width="9" style="131" customWidth="1"/>
    <col min="13825" max="13825" width="10.85546875" style="131" customWidth="1"/>
    <col min="13826" max="13826" width="20.28515625" style="131" customWidth="1"/>
    <col min="13827" max="13827" width="6.28515625" style="131" customWidth="1"/>
    <col min="13828" max="13828" width="10" style="131" customWidth="1"/>
    <col min="13829" max="13829" width="9.85546875" style="131" customWidth="1"/>
    <col min="13830" max="13830" width="7.42578125" style="131" customWidth="1"/>
    <col min="13831" max="13831" width="9.42578125" style="131" customWidth="1"/>
    <col min="13832" max="13832" width="6.7109375" style="131" customWidth="1"/>
    <col min="13833" max="14079" width="8.85546875" style="131"/>
    <col min="14080" max="14080" width="9" style="131" customWidth="1"/>
    <col min="14081" max="14081" width="10.85546875" style="131" customWidth="1"/>
    <col min="14082" max="14082" width="20.28515625" style="131" customWidth="1"/>
    <col min="14083" max="14083" width="6.28515625" style="131" customWidth="1"/>
    <col min="14084" max="14084" width="10" style="131" customWidth="1"/>
    <col min="14085" max="14085" width="9.85546875" style="131" customWidth="1"/>
    <col min="14086" max="14086" width="7.42578125" style="131" customWidth="1"/>
    <col min="14087" max="14087" width="9.42578125" style="131" customWidth="1"/>
    <col min="14088" max="14088" width="6.7109375" style="131" customWidth="1"/>
    <col min="14089" max="14335" width="8.85546875" style="131"/>
    <col min="14336" max="14336" width="9" style="131" customWidth="1"/>
    <col min="14337" max="14337" width="10.85546875" style="131" customWidth="1"/>
    <col min="14338" max="14338" width="20.28515625" style="131" customWidth="1"/>
    <col min="14339" max="14339" width="6.28515625" style="131" customWidth="1"/>
    <col min="14340" max="14340" width="10" style="131" customWidth="1"/>
    <col min="14341" max="14341" width="9.85546875" style="131" customWidth="1"/>
    <col min="14342" max="14342" width="7.42578125" style="131" customWidth="1"/>
    <col min="14343" max="14343" width="9.42578125" style="131" customWidth="1"/>
    <col min="14344" max="14344" width="6.7109375" style="131" customWidth="1"/>
    <col min="14345" max="14591" width="8.85546875" style="131"/>
    <col min="14592" max="14592" width="9" style="131" customWidth="1"/>
    <col min="14593" max="14593" width="10.85546875" style="131" customWidth="1"/>
    <col min="14594" max="14594" width="20.28515625" style="131" customWidth="1"/>
    <col min="14595" max="14595" width="6.28515625" style="131" customWidth="1"/>
    <col min="14596" max="14596" width="10" style="131" customWidth="1"/>
    <col min="14597" max="14597" width="9.85546875" style="131" customWidth="1"/>
    <col min="14598" max="14598" width="7.42578125" style="131" customWidth="1"/>
    <col min="14599" max="14599" width="9.42578125" style="131" customWidth="1"/>
    <col min="14600" max="14600" width="6.7109375" style="131" customWidth="1"/>
    <col min="14601" max="14847" width="8.85546875" style="131"/>
    <col min="14848" max="14848" width="9" style="131" customWidth="1"/>
    <col min="14849" max="14849" width="10.85546875" style="131" customWidth="1"/>
    <col min="14850" max="14850" width="20.28515625" style="131" customWidth="1"/>
    <col min="14851" max="14851" width="6.28515625" style="131" customWidth="1"/>
    <col min="14852" max="14852" width="10" style="131" customWidth="1"/>
    <col min="14853" max="14853" width="9.85546875" style="131" customWidth="1"/>
    <col min="14854" max="14854" width="7.42578125" style="131" customWidth="1"/>
    <col min="14855" max="14855" width="9.42578125" style="131" customWidth="1"/>
    <col min="14856" max="14856" width="6.7109375" style="131" customWidth="1"/>
    <col min="14857" max="15103" width="8.85546875" style="131"/>
    <col min="15104" max="15104" width="9" style="131" customWidth="1"/>
    <col min="15105" max="15105" width="10.85546875" style="131" customWidth="1"/>
    <col min="15106" max="15106" width="20.28515625" style="131" customWidth="1"/>
    <col min="15107" max="15107" width="6.28515625" style="131" customWidth="1"/>
    <col min="15108" max="15108" width="10" style="131" customWidth="1"/>
    <col min="15109" max="15109" width="9.85546875" style="131" customWidth="1"/>
    <col min="15110" max="15110" width="7.42578125" style="131" customWidth="1"/>
    <col min="15111" max="15111" width="9.42578125" style="131" customWidth="1"/>
    <col min="15112" max="15112" width="6.7109375" style="131" customWidth="1"/>
    <col min="15113" max="15359" width="8.85546875" style="131"/>
    <col min="15360" max="15360" width="9" style="131" customWidth="1"/>
    <col min="15361" max="15361" width="10.85546875" style="131" customWidth="1"/>
    <col min="15362" max="15362" width="20.28515625" style="131" customWidth="1"/>
    <col min="15363" max="15363" width="6.28515625" style="131" customWidth="1"/>
    <col min="15364" max="15364" width="10" style="131" customWidth="1"/>
    <col min="15365" max="15365" width="9.85546875" style="131" customWidth="1"/>
    <col min="15366" max="15366" width="7.42578125" style="131" customWidth="1"/>
    <col min="15367" max="15367" width="9.42578125" style="131" customWidth="1"/>
    <col min="15368" max="15368" width="6.7109375" style="131" customWidth="1"/>
    <col min="15369" max="15615" width="8.85546875" style="131"/>
    <col min="15616" max="15616" width="9" style="131" customWidth="1"/>
    <col min="15617" max="15617" width="10.85546875" style="131" customWidth="1"/>
    <col min="15618" max="15618" width="20.28515625" style="131" customWidth="1"/>
    <col min="15619" max="15619" width="6.28515625" style="131" customWidth="1"/>
    <col min="15620" max="15620" width="10" style="131" customWidth="1"/>
    <col min="15621" max="15621" width="9.85546875" style="131" customWidth="1"/>
    <col min="15622" max="15622" width="7.42578125" style="131" customWidth="1"/>
    <col min="15623" max="15623" width="9.42578125" style="131" customWidth="1"/>
    <col min="15624" max="15624" width="6.7109375" style="131" customWidth="1"/>
    <col min="15625" max="15871" width="8.85546875" style="131"/>
    <col min="15872" max="15872" width="9" style="131" customWidth="1"/>
    <col min="15873" max="15873" width="10.85546875" style="131" customWidth="1"/>
    <col min="15874" max="15874" width="20.28515625" style="131" customWidth="1"/>
    <col min="15875" max="15875" width="6.28515625" style="131" customWidth="1"/>
    <col min="15876" max="15876" width="10" style="131" customWidth="1"/>
    <col min="15877" max="15877" width="9.85546875" style="131" customWidth="1"/>
    <col min="15878" max="15878" width="7.42578125" style="131" customWidth="1"/>
    <col min="15879" max="15879" width="9.42578125" style="131" customWidth="1"/>
    <col min="15880" max="15880" width="6.7109375" style="131" customWidth="1"/>
    <col min="15881" max="16127" width="8.85546875" style="131"/>
    <col min="16128" max="16128" width="9" style="131" customWidth="1"/>
    <col min="16129" max="16129" width="10.85546875" style="131" customWidth="1"/>
    <col min="16130" max="16130" width="20.28515625" style="131" customWidth="1"/>
    <col min="16131" max="16131" width="6.28515625" style="131" customWidth="1"/>
    <col min="16132" max="16132" width="10" style="131" customWidth="1"/>
    <col min="16133" max="16133" width="9.85546875" style="131" customWidth="1"/>
    <col min="16134" max="16134" width="7.42578125" style="131" customWidth="1"/>
    <col min="16135" max="16135" width="9.42578125" style="131" customWidth="1"/>
    <col min="16136" max="16136" width="6.7109375" style="131" customWidth="1"/>
    <col min="16137" max="16384" width="8.85546875" style="131"/>
  </cols>
  <sheetData>
    <row r="1" spans="1:18" ht="13.15" x14ac:dyDescent="0.25">
      <c r="A1" s="236"/>
      <c r="B1" s="236"/>
      <c r="C1" s="236"/>
      <c r="D1" s="236"/>
      <c r="E1" s="236"/>
      <c r="F1" s="236"/>
      <c r="G1" s="236"/>
      <c r="H1" s="236"/>
      <c r="I1" s="236"/>
    </row>
    <row r="2" spans="1:18" ht="34.5" customHeight="1" x14ac:dyDescent="0.4">
      <c r="A2" s="261" t="s">
        <v>82</v>
      </c>
      <c r="B2" s="262"/>
      <c r="C2" s="262"/>
      <c r="D2" s="262"/>
      <c r="E2" s="262"/>
      <c r="F2" s="262"/>
      <c r="G2" s="262"/>
      <c r="H2" s="262"/>
      <c r="I2" s="262"/>
      <c r="P2" s="131" t="s">
        <v>214</v>
      </c>
      <c r="Q2" s="131">
        <f>SUM(Q4:Q136)</f>
        <v>1343</v>
      </c>
      <c r="R2" s="131" t="s">
        <v>215</v>
      </c>
    </row>
    <row r="3" spans="1:18" ht="13.15" x14ac:dyDescent="0.25">
      <c r="A3" s="236"/>
      <c r="B3" s="236"/>
      <c r="C3" s="236"/>
      <c r="D3" s="236"/>
      <c r="E3" s="236"/>
      <c r="F3" s="236"/>
      <c r="G3" s="236"/>
      <c r="H3" s="236"/>
      <c r="I3" s="236"/>
    </row>
    <row r="4" spans="1:18" ht="27.6" x14ac:dyDescent="0.25">
      <c r="A4" s="34" t="s">
        <v>81</v>
      </c>
      <c r="B4" s="263" t="s">
        <v>80</v>
      </c>
      <c r="C4" s="263"/>
      <c r="D4" s="39"/>
      <c r="E4" s="39"/>
      <c r="F4" s="39"/>
      <c r="G4" s="39"/>
      <c r="H4" s="39"/>
      <c r="I4" s="39"/>
      <c r="M4" s="125">
        <v>40747</v>
      </c>
      <c r="N4" s="126" t="s">
        <v>34</v>
      </c>
      <c r="O4" s="126" t="s">
        <v>17</v>
      </c>
      <c r="P4" s="126" t="s">
        <v>33</v>
      </c>
      <c r="Q4" s="126">
        <v>170</v>
      </c>
    </row>
    <row r="5" spans="1:18" ht="27.6" x14ac:dyDescent="0.25">
      <c r="A5" s="236"/>
      <c r="B5" s="236"/>
      <c r="C5" s="236"/>
      <c r="D5" s="236"/>
      <c r="E5" s="236"/>
      <c r="F5" s="236"/>
      <c r="G5" s="236"/>
      <c r="H5" s="236"/>
      <c r="I5" s="236"/>
      <c r="M5" s="125" t="s">
        <v>25</v>
      </c>
      <c r="N5" s="126" t="s">
        <v>24</v>
      </c>
      <c r="O5" s="126" t="s">
        <v>17</v>
      </c>
      <c r="P5" s="126" t="s">
        <v>23</v>
      </c>
      <c r="Q5" s="126">
        <v>173</v>
      </c>
    </row>
    <row r="6" spans="1:18" ht="13.9" x14ac:dyDescent="0.25">
      <c r="A6" s="260" t="s">
        <v>79</v>
      </c>
      <c r="B6" s="260"/>
      <c r="C6" s="38" t="s">
        <v>72</v>
      </c>
      <c r="D6" s="264"/>
      <c r="E6" s="264"/>
      <c r="F6" s="264"/>
      <c r="G6" s="264"/>
      <c r="H6" s="264"/>
      <c r="I6" s="264"/>
      <c r="M6" s="125">
        <v>40774</v>
      </c>
      <c r="N6" s="126" t="s">
        <v>18</v>
      </c>
      <c r="O6" s="126" t="s">
        <v>17</v>
      </c>
      <c r="P6" s="126" t="s">
        <v>16</v>
      </c>
      <c r="Q6" s="126">
        <v>32</v>
      </c>
    </row>
    <row r="7" spans="1:18" ht="13.9" x14ac:dyDescent="0.25">
      <c r="A7" s="236"/>
      <c r="B7" s="236"/>
      <c r="C7" s="236"/>
      <c r="D7" s="236"/>
      <c r="E7" s="236"/>
      <c r="F7" s="236"/>
      <c r="G7" s="236"/>
      <c r="H7" s="236"/>
      <c r="I7" s="236"/>
      <c r="M7" s="123">
        <v>40804</v>
      </c>
      <c r="N7" s="127" t="s">
        <v>169</v>
      </c>
      <c r="O7" s="127" t="s">
        <v>17</v>
      </c>
      <c r="P7" s="127" t="s">
        <v>170</v>
      </c>
      <c r="Q7" s="127">
        <v>330</v>
      </c>
    </row>
    <row r="8" spans="1:18" ht="13.9" x14ac:dyDescent="0.25">
      <c r="A8" s="260" t="s">
        <v>78</v>
      </c>
      <c r="B8" s="260"/>
      <c r="C8" s="37" t="s">
        <v>77</v>
      </c>
      <c r="D8" s="132" t="s">
        <v>76</v>
      </c>
      <c r="E8" s="36" t="s">
        <v>75</v>
      </c>
      <c r="F8" s="132"/>
      <c r="G8" s="132"/>
      <c r="H8" s="132"/>
      <c r="I8" s="132"/>
      <c r="M8" s="123">
        <v>40805</v>
      </c>
      <c r="N8" s="127" t="s">
        <v>172</v>
      </c>
      <c r="O8" s="127" t="s">
        <v>17</v>
      </c>
      <c r="P8" s="127" t="s">
        <v>185</v>
      </c>
      <c r="Q8" s="127">
        <v>14</v>
      </c>
    </row>
    <row r="9" spans="1:18" ht="13.9" x14ac:dyDescent="0.25">
      <c r="A9" s="236"/>
      <c r="B9" s="236"/>
      <c r="C9" s="236"/>
      <c r="D9" s="236"/>
      <c r="E9" s="236"/>
      <c r="F9" s="236"/>
      <c r="G9" s="236"/>
      <c r="H9" s="236"/>
      <c r="I9" s="236"/>
      <c r="M9" s="123">
        <v>40809</v>
      </c>
      <c r="N9" s="127" t="s">
        <v>184</v>
      </c>
      <c r="O9" s="127" t="s">
        <v>17</v>
      </c>
      <c r="P9" s="127" t="s">
        <v>186</v>
      </c>
      <c r="Q9" s="127">
        <v>12</v>
      </c>
    </row>
    <row r="10" spans="1:18" ht="39.6" x14ac:dyDescent="0.25">
      <c r="A10" s="260" t="s">
        <v>74</v>
      </c>
      <c r="B10" s="260"/>
      <c r="C10" s="37">
        <v>2354</v>
      </c>
      <c r="D10" s="132" t="s">
        <v>73</v>
      </c>
      <c r="E10" s="132"/>
      <c r="F10" s="132"/>
      <c r="G10" s="36" t="s">
        <v>72</v>
      </c>
      <c r="H10" s="132"/>
      <c r="I10" s="132"/>
      <c r="K10" s="53" t="s">
        <v>71</v>
      </c>
      <c r="M10" s="123">
        <v>40811</v>
      </c>
      <c r="N10" s="127" t="s">
        <v>201</v>
      </c>
      <c r="O10" s="127" t="s">
        <v>17</v>
      </c>
      <c r="P10" s="127" t="s">
        <v>202</v>
      </c>
      <c r="Q10" s="127">
        <v>359</v>
      </c>
    </row>
    <row r="11" spans="1:18" ht="13.9" x14ac:dyDescent="0.25">
      <c r="A11" s="236"/>
      <c r="B11" s="236"/>
      <c r="C11" s="236"/>
      <c r="D11" s="236"/>
      <c r="E11" s="236"/>
      <c r="F11" s="236"/>
      <c r="G11" s="236"/>
      <c r="H11" s="236"/>
      <c r="I11" s="236"/>
      <c r="K11" s="52">
        <f>SUM(K17:K111)</f>
        <v>1129.52</v>
      </c>
      <c r="M11" s="123">
        <v>40812</v>
      </c>
      <c r="N11" s="127" t="s">
        <v>203</v>
      </c>
      <c r="O11" s="127" t="s">
        <v>17</v>
      </c>
      <c r="P11" s="127" t="s">
        <v>204</v>
      </c>
      <c r="Q11" s="127">
        <f>25420-25319</f>
        <v>101</v>
      </c>
    </row>
    <row r="12" spans="1:18" ht="13.9" x14ac:dyDescent="0.25">
      <c r="A12" s="34"/>
      <c r="B12" s="33"/>
      <c r="C12" s="33"/>
      <c r="D12" s="260"/>
      <c r="E12" s="260"/>
      <c r="F12" s="260"/>
      <c r="G12" s="260"/>
      <c r="H12" s="260"/>
      <c r="I12" s="260"/>
      <c r="M12" s="123">
        <v>40813</v>
      </c>
      <c r="N12" s="127" t="s">
        <v>172</v>
      </c>
      <c r="O12" s="127" t="s">
        <v>17</v>
      </c>
      <c r="P12" s="127" t="s">
        <v>205</v>
      </c>
      <c r="Q12" s="127">
        <v>15</v>
      </c>
    </row>
    <row r="13" spans="1:18" ht="13.9" x14ac:dyDescent="0.25">
      <c r="A13" s="236"/>
      <c r="B13" s="236"/>
      <c r="C13" s="236"/>
      <c r="D13" s="236"/>
      <c r="E13" s="236"/>
      <c r="F13" s="236"/>
      <c r="G13" s="236"/>
      <c r="H13" s="236"/>
      <c r="I13" s="236"/>
      <c r="M13" s="123">
        <v>40813</v>
      </c>
      <c r="N13" s="127" t="s">
        <v>207</v>
      </c>
      <c r="O13" s="127" t="s">
        <v>17</v>
      </c>
      <c r="P13" s="127" t="s">
        <v>206</v>
      </c>
      <c r="Q13" s="127">
        <f>25446-25435</f>
        <v>11</v>
      </c>
    </row>
    <row r="14" spans="1:18" ht="13.15" x14ac:dyDescent="0.25">
      <c r="A14" s="235"/>
      <c r="B14" s="235"/>
      <c r="C14" s="235"/>
      <c r="D14" s="235"/>
      <c r="E14" s="235"/>
      <c r="F14" s="235"/>
      <c r="G14" s="235"/>
      <c r="H14" s="235"/>
      <c r="I14" s="235"/>
    </row>
    <row r="15" spans="1:18" ht="12.75" customHeight="1" x14ac:dyDescent="0.2">
      <c r="A15" s="288" t="s">
        <v>65</v>
      </c>
      <c r="B15" s="289"/>
      <c r="C15" s="290" t="s">
        <v>70</v>
      </c>
      <c r="D15" s="290"/>
      <c r="E15" s="292" t="s">
        <v>61</v>
      </c>
      <c r="F15" s="292"/>
      <c r="G15" s="293" t="s">
        <v>69</v>
      </c>
      <c r="H15" s="290" t="s">
        <v>68</v>
      </c>
      <c r="I15" s="293" t="s">
        <v>67</v>
      </c>
      <c r="J15" s="285" t="s">
        <v>66</v>
      </c>
      <c r="K15" s="286"/>
    </row>
    <row r="16" spans="1:18" ht="48" customHeight="1" x14ac:dyDescent="0.2">
      <c r="A16" s="32" t="s">
        <v>65</v>
      </c>
      <c r="B16" s="135" t="s">
        <v>239</v>
      </c>
      <c r="C16" s="291"/>
      <c r="D16" s="291"/>
      <c r="E16" s="135" t="s">
        <v>63</v>
      </c>
      <c r="F16" s="135" t="s">
        <v>62</v>
      </c>
      <c r="G16" s="294"/>
      <c r="H16" s="291"/>
      <c r="I16" s="294"/>
      <c r="J16" s="131" t="s">
        <v>61</v>
      </c>
      <c r="K16" s="52" t="s">
        <v>60</v>
      </c>
      <c r="M16" s="131" t="s">
        <v>398</v>
      </c>
    </row>
    <row r="17" spans="1:17" ht="15" x14ac:dyDescent="0.25">
      <c r="A17" s="31"/>
      <c r="B17" s="133"/>
      <c r="C17" s="234"/>
      <c r="D17" s="234"/>
      <c r="E17" s="30"/>
      <c r="F17" s="27">
        <v>52575</v>
      </c>
      <c r="G17" s="26"/>
      <c r="H17" s="133"/>
      <c r="I17" s="21" t="str">
        <f t="shared" ref="I17:I49" si="0">IF(H17="Business", G17, "0")</f>
        <v>0</v>
      </c>
      <c r="M17" s="131" t="s">
        <v>2</v>
      </c>
      <c r="N17" s="131" t="s">
        <v>395</v>
      </c>
      <c r="O17" s="131" t="s">
        <v>396</v>
      </c>
      <c r="P17" s="131" t="s">
        <v>397</v>
      </c>
    </row>
    <row r="18" spans="1:17" ht="15" x14ac:dyDescent="0.25">
      <c r="A18" s="28">
        <v>40728</v>
      </c>
      <c r="B18" s="133" t="s">
        <v>240</v>
      </c>
      <c r="C18" s="234" t="s">
        <v>54</v>
      </c>
      <c r="D18" s="234"/>
      <c r="E18" s="24">
        <f t="shared" ref="E18:E50" si="1">F17</f>
        <v>52575</v>
      </c>
      <c r="F18" s="27">
        <v>52625</v>
      </c>
      <c r="G18" s="26">
        <f t="shared" ref="G18:G83" si="2">F18-E18</f>
        <v>50</v>
      </c>
      <c r="H18" s="133" t="s">
        <v>45</v>
      </c>
      <c r="I18" s="21">
        <f t="shared" si="0"/>
        <v>50</v>
      </c>
      <c r="M18" s="296">
        <v>40796</v>
      </c>
      <c r="N18" s="131" t="s">
        <v>399</v>
      </c>
      <c r="O18" s="131">
        <v>24043</v>
      </c>
      <c r="P18" s="131">
        <v>24103</v>
      </c>
      <c r="Q18" s="131">
        <f>P18-O18</f>
        <v>60</v>
      </c>
    </row>
    <row r="19" spans="1:17" ht="15" x14ac:dyDescent="0.25">
      <c r="A19" s="28"/>
      <c r="B19" s="133"/>
      <c r="C19" s="234" t="s">
        <v>51</v>
      </c>
      <c r="D19" s="234"/>
      <c r="E19" s="24">
        <f t="shared" si="1"/>
        <v>52625</v>
      </c>
      <c r="F19" s="27">
        <v>52675</v>
      </c>
      <c r="G19" s="26">
        <f t="shared" si="2"/>
        <v>50</v>
      </c>
      <c r="H19" s="133" t="s">
        <v>45</v>
      </c>
      <c r="I19" s="21">
        <f t="shared" si="0"/>
        <v>50</v>
      </c>
      <c r="J19" s="131">
        <v>52665</v>
      </c>
      <c r="K19" s="52">
        <v>60.59</v>
      </c>
      <c r="M19" s="296">
        <v>40800</v>
      </c>
      <c r="N19" s="228" t="s">
        <v>399</v>
      </c>
      <c r="O19" s="131">
        <v>24233</v>
      </c>
      <c r="P19" s="131">
        <v>24299</v>
      </c>
      <c r="Q19" s="228">
        <f t="shared" ref="Q19:Q82" si="3">P19-O19</f>
        <v>66</v>
      </c>
    </row>
    <row r="20" spans="1:17" ht="15" x14ac:dyDescent="0.25">
      <c r="A20" s="28">
        <v>40729</v>
      </c>
      <c r="B20" s="133" t="s">
        <v>240</v>
      </c>
      <c r="C20" s="234" t="s">
        <v>54</v>
      </c>
      <c r="D20" s="234"/>
      <c r="E20" s="24">
        <f t="shared" si="1"/>
        <v>52675</v>
      </c>
      <c r="F20" s="27">
        <v>52726</v>
      </c>
      <c r="G20" s="26">
        <f t="shared" si="2"/>
        <v>51</v>
      </c>
      <c r="H20" s="133" t="s">
        <v>45</v>
      </c>
      <c r="I20" s="21">
        <f t="shared" si="0"/>
        <v>51</v>
      </c>
      <c r="M20" s="295"/>
      <c r="Q20" s="228">
        <f t="shared" si="3"/>
        <v>0</v>
      </c>
    </row>
    <row r="21" spans="1:17" ht="15" x14ac:dyDescent="0.25">
      <c r="A21" s="28"/>
      <c r="B21" s="133"/>
      <c r="C21" s="234" t="s">
        <v>51</v>
      </c>
      <c r="D21" s="234"/>
      <c r="E21" s="24">
        <f t="shared" si="1"/>
        <v>52726</v>
      </c>
      <c r="F21" s="27">
        <v>52776</v>
      </c>
      <c r="G21" s="26">
        <f t="shared" si="2"/>
        <v>50</v>
      </c>
      <c r="H21" s="133" t="s">
        <v>45</v>
      </c>
      <c r="I21" s="21">
        <f t="shared" si="0"/>
        <v>50</v>
      </c>
      <c r="M21" s="295"/>
      <c r="Q21" s="228">
        <f t="shared" si="3"/>
        <v>0</v>
      </c>
    </row>
    <row r="22" spans="1:17" ht="15" x14ac:dyDescent="0.25">
      <c r="A22" s="28">
        <v>40730</v>
      </c>
      <c r="B22" s="133" t="s">
        <v>240</v>
      </c>
      <c r="C22" s="234" t="s">
        <v>54</v>
      </c>
      <c r="D22" s="234"/>
      <c r="E22" s="24">
        <f t="shared" si="1"/>
        <v>52776</v>
      </c>
      <c r="F22" s="27">
        <v>52827</v>
      </c>
      <c r="G22" s="26">
        <f t="shared" si="2"/>
        <v>51</v>
      </c>
      <c r="H22" s="133" t="s">
        <v>45</v>
      </c>
      <c r="I22" s="21">
        <f t="shared" si="0"/>
        <v>51</v>
      </c>
      <c r="M22" s="295"/>
      <c r="Q22" s="228">
        <f t="shared" si="3"/>
        <v>0</v>
      </c>
    </row>
    <row r="23" spans="1:17" ht="15" x14ac:dyDescent="0.25">
      <c r="A23" s="28"/>
      <c r="B23" s="133"/>
      <c r="C23" s="234" t="s">
        <v>51</v>
      </c>
      <c r="D23" s="234"/>
      <c r="E23" s="24">
        <f t="shared" si="1"/>
        <v>52827</v>
      </c>
      <c r="F23" s="27">
        <v>52877</v>
      </c>
      <c r="G23" s="26">
        <f t="shared" si="2"/>
        <v>50</v>
      </c>
      <c r="H23" s="133" t="s">
        <v>45</v>
      </c>
      <c r="I23" s="21">
        <f t="shared" si="0"/>
        <v>50</v>
      </c>
      <c r="M23" s="295"/>
      <c r="Q23" s="228">
        <f t="shared" si="3"/>
        <v>0</v>
      </c>
    </row>
    <row r="24" spans="1:17" ht="15" x14ac:dyDescent="0.25">
      <c r="A24" s="28">
        <v>40731</v>
      </c>
      <c r="B24" s="133" t="s">
        <v>240</v>
      </c>
      <c r="C24" s="234" t="s">
        <v>54</v>
      </c>
      <c r="D24" s="234"/>
      <c r="E24" s="24">
        <f t="shared" si="1"/>
        <v>52877</v>
      </c>
      <c r="F24" s="27">
        <v>52929</v>
      </c>
      <c r="G24" s="26">
        <f t="shared" si="2"/>
        <v>52</v>
      </c>
      <c r="H24" s="133" t="s">
        <v>45</v>
      </c>
      <c r="I24" s="21">
        <f t="shared" si="0"/>
        <v>52</v>
      </c>
      <c r="M24" s="295"/>
      <c r="Q24" s="228">
        <f t="shared" si="3"/>
        <v>0</v>
      </c>
    </row>
    <row r="25" spans="1:17" ht="15" x14ac:dyDescent="0.25">
      <c r="A25" s="28"/>
      <c r="B25" s="133"/>
      <c r="C25" s="234" t="s">
        <v>51</v>
      </c>
      <c r="D25" s="234"/>
      <c r="E25" s="24">
        <f t="shared" si="1"/>
        <v>52929</v>
      </c>
      <c r="F25" s="27">
        <v>52983</v>
      </c>
      <c r="G25" s="26">
        <f t="shared" si="2"/>
        <v>54</v>
      </c>
      <c r="H25" s="133" t="s">
        <v>45</v>
      </c>
      <c r="I25" s="21">
        <f t="shared" si="0"/>
        <v>54</v>
      </c>
      <c r="J25" s="131">
        <v>52978</v>
      </c>
      <c r="K25" s="52">
        <v>42.17</v>
      </c>
      <c r="M25" s="295"/>
      <c r="Q25" s="228">
        <f t="shared" si="3"/>
        <v>0</v>
      </c>
    </row>
    <row r="26" spans="1:17" ht="15" x14ac:dyDescent="0.25">
      <c r="A26" s="28">
        <v>40732</v>
      </c>
      <c r="B26" s="133" t="s">
        <v>240</v>
      </c>
      <c r="C26" s="284" t="s">
        <v>59</v>
      </c>
      <c r="D26" s="234"/>
      <c r="E26" s="24">
        <f t="shared" si="1"/>
        <v>52983</v>
      </c>
      <c r="F26" s="27">
        <v>53151</v>
      </c>
      <c r="G26" s="26">
        <f t="shared" si="2"/>
        <v>168</v>
      </c>
      <c r="H26" s="133" t="s">
        <v>45</v>
      </c>
      <c r="I26" s="21">
        <f t="shared" si="0"/>
        <v>168</v>
      </c>
      <c r="M26" s="295"/>
      <c r="Q26" s="228">
        <f t="shared" si="3"/>
        <v>0</v>
      </c>
    </row>
    <row r="27" spans="1:17" ht="15" x14ac:dyDescent="0.25">
      <c r="A27" s="28"/>
      <c r="B27" s="133"/>
      <c r="C27" s="284" t="s">
        <v>58</v>
      </c>
      <c r="D27" s="234"/>
      <c r="E27" s="24">
        <f t="shared" si="1"/>
        <v>53151</v>
      </c>
      <c r="F27" s="27">
        <v>53322</v>
      </c>
      <c r="G27" s="26">
        <f t="shared" si="2"/>
        <v>171</v>
      </c>
      <c r="H27" s="133" t="s">
        <v>45</v>
      </c>
      <c r="I27" s="21">
        <f t="shared" si="0"/>
        <v>171</v>
      </c>
      <c r="J27" s="131">
        <v>53319</v>
      </c>
      <c r="K27" s="52">
        <v>55.27</v>
      </c>
      <c r="L27" s="29"/>
      <c r="M27" s="295"/>
      <c r="Q27" s="228">
        <f t="shared" si="3"/>
        <v>0</v>
      </c>
    </row>
    <row r="28" spans="1:17" ht="15" x14ac:dyDescent="0.25">
      <c r="A28" s="28">
        <v>40733</v>
      </c>
      <c r="B28" s="133" t="s">
        <v>240</v>
      </c>
      <c r="C28" s="284" t="s">
        <v>57</v>
      </c>
      <c r="D28" s="234"/>
      <c r="E28" s="24">
        <f t="shared" si="1"/>
        <v>53322</v>
      </c>
      <c r="F28" s="27">
        <v>53393</v>
      </c>
      <c r="G28" s="26">
        <f t="shared" si="2"/>
        <v>71</v>
      </c>
      <c r="H28" s="133" t="s">
        <v>45</v>
      </c>
      <c r="I28" s="21">
        <f t="shared" si="0"/>
        <v>71</v>
      </c>
      <c r="M28" s="295"/>
      <c r="Q28" s="228">
        <f t="shared" si="3"/>
        <v>0</v>
      </c>
    </row>
    <row r="29" spans="1:17" ht="15" x14ac:dyDescent="0.25">
      <c r="A29" s="28"/>
      <c r="B29" s="133"/>
      <c r="C29" s="284" t="s">
        <v>56</v>
      </c>
      <c r="D29" s="234"/>
      <c r="E29" s="24">
        <f t="shared" si="1"/>
        <v>53393</v>
      </c>
      <c r="F29" s="27">
        <v>53464</v>
      </c>
      <c r="G29" s="26">
        <f t="shared" si="2"/>
        <v>71</v>
      </c>
      <c r="H29" s="133" t="s">
        <v>45</v>
      </c>
      <c r="I29" s="21">
        <f t="shared" si="0"/>
        <v>71</v>
      </c>
      <c r="M29" s="295"/>
      <c r="Q29" s="228">
        <f t="shared" si="3"/>
        <v>0</v>
      </c>
    </row>
    <row r="30" spans="1:17" ht="15" x14ac:dyDescent="0.25">
      <c r="A30" s="28">
        <v>40735</v>
      </c>
      <c r="B30" s="133" t="s">
        <v>240</v>
      </c>
      <c r="C30" s="234" t="s">
        <v>54</v>
      </c>
      <c r="D30" s="234"/>
      <c r="E30" s="24">
        <f t="shared" si="1"/>
        <v>53464</v>
      </c>
      <c r="F30" s="27">
        <v>53515</v>
      </c>
      <c r="G30" s="26">
        <f t="shared" si="2"/>
        <v>51</v>
      </c>
      <c r="H30" s="133" t="s">
        <v>45</v>
      </c>
      <c r="I30" s="21">
        <f t="shared" si="0"/>
        <v>51</v>
      </c>
      <c r="M30" s="295"/>
      <c r="Q30" s="228">
        <f t="shared" si="3"/>
        <v>0</v>
      </c>
    </row>
    <row r="31" spans="1:17" ht="15" x14ac:dyDescent="0.25">
      <c r="A31" s="28"/>
      <c r="B31" s="133"/>
      <c r="C31" s="234" t="s">
        <v>51</v>
      </c>
      <c r="D31" s="234"/>
      <c r="E31" s="24">
        <f t="shared" si="1"/>
        <v>53515</v>
      </c>
      <c r="F31" s="27">
        <v>53565</v>
      </c>
      <c r="G31" s="26">
        <f t="shared" si="2"/>
        <v>50</v>
      </c>
      <c r="H31" s="133" t="s">
        <v>45</v>
      </c>
      <c r="I31" s="21">
        <f t="shared" si="0"/>
        <v>50</v>
      </c>
      <c r="M31" s="295"/>
      <c r="Q31" s="228">
        <f t="shared" si="3"/>
        <v>0</v>
      </c>
    </row>
    <row r="32" spans="1:17" ht="15" x14ac:dyDescent="0.25">
      <c r="A32" s="28">
        <v>40736</v>
      </c>
      <c r="B32" s="133" t="s">
        <v>240</v>
      </c>
      <c r="C32" s="234" t="s">
        <v>54</v>
      </c>
      <c r="D32" s="234"/>
      <c r="E32" s="24">
        <f t="shared" si="1"/>
        <v>53565</v>
      </c>
      <c r="F32" s="27">
        <v>53617</v>
      </c>
      <c r="G32" s="26">
        <f t="shared" si="2"/>
        <v>52</v>
      </c>
      <c r="H32" s="133" t="s">
        <v>45</v>
      </c>
      <c r="I32" s="21">
        <f t="shared" si="0"/>
        <v>52</v>
      </c>
      <c r="M32" s="295"/>
      <c r="Q32" s="228">
        <f t="shared" si="3"/>
        <v>0</v>
      </c>
    </row>
    <row r="33" spans="1:17" ht="15" x14ac:dyDescent="0.25">
      <c r="A33" s="28"/>
      <c r="B33" s="133"/>
      <c r="C33" s="234" t="s">
        <v>51</v>
      </c>
      <c r="D33" s="234"/>
      <c r="E33" s="24">
        <f t="shared" si="1"/>
        <v>53617</v>
      </c>
      <c r="F33" s="27">
        <v>53667</v>
      </c>
      <c r="G33" s="26">
        <f t="shared" si="2"/>
        <v>50</v>
      </c>
      <c r="H33" s="133" t="s">
        <v>45</v>
      </c>
      <c r="I33" s="21">
        <f t="shared" si="0"/>
        <v>50</v>
      </c>
      <c r="J33" s="131">
        <v>53656</v>
      </c>
      <c r="K33" s="52">
        <v>52.18</v>
      </c>
      <c r="M33" s="295"/>
      <c r="Q33" s="228">
        <f t="shared" si="3"/>
        <v>0</v>
      </c>
    </row>
    <row r="34" spans="1:17" ht="15" x14ac:dyDescent="0.25">
      <c r="A34" s="28">
        <v>40737</v>
      </c>
      <c r="B34" s="133" t="s">
        <v>240</v>
      </c>
      <c r="C34" s="234" t="s">
        <v>54</v>
      </c>
      <c r="D34" s="234"/>
      <c r="E34" s="24">
        <f t="shared" si="1"/>
        <v>53667</v>
      </c>
      <c r="F34" s="27">
        <v>53719</v>
      </c>
      <c r="G34" s="26">
        <f t="shared" si="2"/>
        <v>52</v>
      </c>
      <c r="H34" s="133" t="s">
        <v>45</v>
      </c>
      <c r="I34" s="21">
        <f t="shared" si="0"/>
        <v>52</v>
      </c>
      <c r="M34" s="295"/>
      <c r="Q34" s="228">
        <f t="shared" si="3"/>
        <v>0</v>
      </c>
    </row>
    <row r="35" spans="1:17" ht="15" x14ac:dyDescent="0.25">
      <c r="A35" s="28"/>
      <c r="B35" s="133"/>
      <c r="C35" s="234" t="s">
        <v>51</v>
      </c>
      <c r="D35" s="234"/>
      <c r="E35" s="24">
        <f t="shared" si="1"/>
        <v>53719</v>
      </c>
      <c r="F35" s="27">
        <v>53769</v>
      </c>
      <c r="G35" s="26">
        <f t="shared" si="2"/>
        <v>50</v>
      </c>
      <c r="H35" s="133" t="s">
        <v>45</v>
      </c>
      <c r="I35" s="21">
        <f t="shared" si="0"/>
        <v>50</v>
      </c>
      <c r="M35" s="295"/>
      <c r="Q35" s="228">
        <f t="shared" si="3"/>
        <v>0</v>
      </c>
    </row>
    <row r="36" spans="1:17" ht="15" x14ac:dyDescent="0.25">
      <c r="A36" s="28">
        <v>40738</v>
      </c>
      <c r="B36" s="133" t="s">
        <v>240</v>
      </c>
      <c r="C36" s="234" t="s">
        <v>54</v>
      </c>
      <c r="D36" s="234"/>
      <c r="E36" s="24">
        <f t="shared" si="1"/>
        <v>53769</v>
      </c>
      <c r="F36" s="27">
        <v>53820</v>
      </c>
      <c r="G36" s="26">
        <f t="shared" si="2"/>
        <v>51</v>
      </c>
      <c r="H36" s="133" t="s">
        <v>45</v>
      </c>
      <c r="I36" s="21">
        <f t="shared" si="0"/>
        <v>51</v>
      </c>
      <c r="M36" s="295"/>
      <c r="Q36" s="228">
        <f t="shared" si="3"/>
        <v>0</v>
      </c>
    </row>
    <row r="37" spans="1:17" ht="15" x14ac:dyDescent="0.25">
      <c r="A37" s="28"/>
      <c r="B37" s="133"/>
      <c r="C37" s="234" t="s">
        <v>51</v>
      </c>
      <c r="D37" s="234"/>
      <c r="E37" s="24">
        <f t="shared" si="1"/>
        <v>53820</v>
      </c>
      <c r="F37" s="27">
        <v>53870</v>
      </c>
      <c r="G37" s="26">
        <f t="shared" si="2"/>
        <v>50</v>
      </c>
      <c r="H37" s="133" t="s">
        <v>45</v>
      </c>
      <c r="I37" s="21">
        <f t="shared" si="0"/>
        <v>50</v>
      </c>
      <c r="M37" s="295"/>
      <c r="Q37" s="228">
        <f t="shared" si="3"/>
        <v>0</v>
      </c>
    </row>
    <row r="38" spans="1:17" ht="15" x14ac:dyDescent="0.25">
      <c r="A38" s="28">
        <v>40729</v>
      </c>
      <c r="B38" s="133" t="s">
        <v>240</v>
      </c>
      <c r="C38" s="284" t="s">
        <v>55</v>
      </c>
      <c r="D38" s="234"/>
      <c r="E38" s="24">
        <f t="shared" si="1"/>
        <v>53870</v>
      </c>
      <c r="F38" s="27">
        <v>53874</v>
      </c>
      <c r="G38" s="26">
        <f t="shared" si="2"/>
        <v>4</v>
      </c>
      <c r="H38" s="133" t="s">
        <v>45</v>
      </c>
      <c r="I38" s="21">
        <f t="shared" si="0"/>
        <v>4</v>
      </c>
      <c r="M38" s="295"/>
      <c r="Q38" s="228">
        <f t="shared" si="3"/>
        <v>0</v>
      </c>
    </row>
    <row r="39" spans="1:17" ht="15" x14ac:dyDescent="0.25">
      <c r="A39" s="28">
        <v>40742</v>
      </c>
      <c r="B39" s="133" t="s">
        <v>240</v>
      </c>
      <c r="C39" s="234" t="s">
        <v>54</v>
      </c>
      <c r="D39" s="234"/>
      <c r="E39" s="24">
        <f t="shared" si="1"/>
        <v>53874</v>
      </c>
      <c r="F39" s="27">
        <v>53929</v>
      </c>
      <c r="G39" s="26">
        <f t="shared" si="2"/>
        <v>55</v>
      </c>
      <c r="H39" s="133" t="s">
        <v>45</v>
      </c>
      <c r="I39" s="21">
        <f t="shared" si="0"/>
        <v>55</v>
      </c>
      <c r="M39" s="295"/>
      <c r="Q39" s="228">
        <f t="shared" si="3"/>
        <v>0</v>
      </c>
    </row>
    <row r="40" spans="1:17" ht="15" x14ac:dyDescent="0.25">
      <c r="A40" s="28"/>
      <c r="B40" s="133"/>
      <c r="C40" s="234" t="s">
        <v>51</v>
      </c>
      <c r="D40" s="234"/>
      <c r="E40" s="24">
        <f t="shared" si="1"/>
        <v>53929</v>
      </c>
      <c r="F40" s="27">
        <v>53982</v>
      </c>
      <c r="G40" s="26">
        <f t="shared" si="2"/>
        <v>53</v>
      </c>
      <c r="H40" s="133" t="s">
        <v>45</v>
      </c>
      <c r="I40" s="21">
        <f t="shared" si="0"/>
        <v>53</v>
      </c>
      <c r="J40" s="131">
        <v>53971</v>
      </c>
      <c r="K40" s="52">
        <v>54.09</v>
      </c>
      <c r="M40" s="295"/>
      <c r="Q40" s="228">
        <f t="shared" si="3"/>
        <v>0</v>
      </c>
    </row>
    <row r="41" spans="1:17" ht="15" x14ac:dyDescent="0.25">
      <c r="A41" s="28">
        <v>40743</v>
      </c>
      <c r="B41" s="133" t="s">
        <v>240</v>
      </c>
      <c r="C41" s="234" t="s">
        <v>54</v>
      </c>
      <c r="D41" s="234"/>
      <c r="E41" s="24">
        <f t="shared" si="1"/>
        <v>53982</v>
      </c>
      <c r="F41" s="27">
        <v>54033</v>
      </c>
      <c r="G41" s="26">
        <f t="shared" si="2"/>
        <v>51</v>
      </c>
      <c r="H41" s="133" t="s">
        <v>45</v>
      </c>
      <c r="I41" s="21">
        <f t="shared" si="0"/>
        <v>51</v>
      </c>
      <c r="M41" s="295"/>
      <c r="Q41" s="228">
        <f t="shared" si="3"/>
        <v>0</v>
      </c>
    </row>
    <row r="42" spans="1:17" ht="15" x14ac:dyDescent="0.25">
      <c r="A42" s="28"/>
      <c r="B42" s="133"/>
      <c r="C42" s="234" t="s">
        <v>51</v>
      </c>
      <c r="D42" s="234"/>
      <c r="E42" s="24">
        <f t="shared" si="1"/>
        <v>54033</v>
      </c>
      <c r="F42" s="27">
        <v>54083</v>
      </c>
      <c r="G42" s="26">
        <f t="shared" si="2"/>
        <v>50</v>
      </c>
      <c r="H42" s="133" t="s">
        <v>45</v>
      </c>
      <c r="I42" s="21">
        <f t="shared" si="0"/>
        <v>50</v>
      </c>
      <c r="M42" s="295"/>
      <c r="Q42" s="228">
        <f t="shared" si="3"/>
        <v>0</v>
      </c>
    </row>
    <row r="43" spans="1:17" ht="15" x14ac:dyDescent="0.25">
      <c r="A43" s="28">
        <v>40744</v>
      </c>
      <c r="B43" s="133" t="s">
        <v>240</v>
      </c>
      <c r="C43" s="234" t="s">
        <v>54</v>
      </c>
      <c r="D43" s="234"/>
      <c r="E43" s="24">
        <f t="shared" si="1"/>
        <v>54083</v>
      </c>
      <c r="F43" s="27">
        <v>54134</v>
      </c>
      <c r="G43" s="26">
        <f t="shared" si="2"/>
        <v>51</v>
      </c>
      <c r="H43" s="133" t="s">
        <v>45</v>
      </c>
      <c r="I43" s="21">
        <f t="shared" si="0"/>
        <v>51</v>
      </c>
      <c r="M43" s="295"/>
      <c r="Q43" s="228">
        <f t="shared" si="3"/>
        <v>0</v>
      </c>
    </row>
    <row r="44" spans="1:17" ht="15" x14ac:dyDescent="0.25">
      <c r="A44" s="28"/>
      <c r="B44" s="133"/>
      <c r="C44" s="234" t="s">
        <v>51</v>
      </c>
      <c r="D44" s="234"/>
      <c r="E44" s="24">
        <f t="shared" si="1"/>
        <v>54134</v>
      </c>
      <c r="F44" s="27">
        <v>54185</v>
      </c>
      <c r="G44" s="26">
        <f t="shared" si="2"/>
        <v>51</v>
      </c>
      <c r="H44" s="133" t="s">
        <v>45</v>
      </c>
      <c r="I44" s="21">
        <f t="shared" si="0"/>
        <v>51</v>
      </c>
      <c r="M44" s="295"/>
      <c r="Q44" s="228">
        <f t="shared" si="3"/>
        <v>0</v>
      </c>
    </row>
    <row r="45" spans="1:17" ht="15" x14ac:dyDescent="0.25">
      <c r="A45" s="28">
        <v>40745</v>
      </c>
      <c r="B45" s="133" t="s">
        <v>240</v>
      </c>
      <c r="C45" s="234" t="s">
        <v>54</v>
      </c>
      <c r="D45" s="234"/>
      <c r="E45" s="24">
        <f t="shared" si="1"/>
        <v>54185</v>
      </c>
      <c r="F45" s="27">
        <v>54238</v>
      </c>
      <c r="G45" s="26">
        <f t="shared" si="2"/>
        <v>53</v>
      </c>
      <c r="H45" s="133" t="s">
        <v>45</v>
      </c>
      <c r="I45" s="21">
        <f t="shared" si="0"/>
        <v>53</v>
      </c>
      <c r="M45" s="295"/>
      <c r="N45" s="1"/>
      <c r="O45" s="1"/>
      <c r="P45" s="1"/>
      <c r="Q45" s="228">
        <f t="shared" si="3"/>
        <v>0</v>
      </c>
    </row>
    <row r="46" spans="1:17" ht="15" x14ac:dyDescent="0.25">
      <c r="A46" s="28"/>
      <c r="B46" s="133"/>
      <c r="C46" s="234" t="s">
        <v>51</v>
      </c>
      <c r="D46" s="234"/>
      <c r="E46" s="24">
        <f t="shared" si="1"/>
        <v>54238</v>
      </c>
      <c r="F46" s="27">
        <v>54292</v>
      </c>
      <c r="G46" s="26">
        <f t="shared" si="2"/>
        <v>54</v>
      </c>
      <c r="H46" s="133" t="s">
        <v>45</v>
      </c>
      <c r="I46" s="21">
        <f t="shared" si="0"/>
        <v>54</v>
      </c>
      <c r="M46" s="295"/>
      <c r="N46" s="95"/>
      <c r="O46" s="1"/>
      <c r="P46" s="1"/>
      <c r="Q46" s="228">
        <f t="shared" si="3"/>
        <v>0</v>
      </c>
    </row>
    <row r="47" spans="1:17" ht="15" customHeight="1" x14ac:dyDescent="0.25">
      <c r="A47" s="28">
        <v>40747</v>
      </c>
      <c r="B47" s="133" t="s">
        <v>216</v>
      </c>
      <c r="C47" s="282" t="s">
        <v>34</v>
      </c>
      <c r="D47" s="283"/>
      <c r="E47" s="24">
        <v>22220</v>
      </c>
      <c r="F47" s="27">
        <v>22390</v>
      </c>
      <c r="G47" s="26">
        <f t="shared" si="2"/>
        <v>170</v>
      </c>
      <c r="H47" s="133" t="s">
        <v>238</v>
      </c>
      <c r="I47" s="21">
        <f t="shared" si="0"/>
        <v>170</v>
      </c>
      <c r="M47" s="295"/>
      <c r="N47" s="1"/>
      <c r="O47" s="1"/>
      <c r="P47" s="1"/>
      <c r="Q47" s="228">
        <f t="shared" si="3"/>
        <v>0</v>
      </c>
    </row>
    <row r="48" spans="1:17" ht="15" x14ac:dyDescent="0.25">
      <c r="A48" s="28">
        <v>40749</v>
      </c>
      <c r="B48" s="133" t="s">
        <v>240</v>
      </c>
      <c r="C48" s="234" t="s">
        <v>54</v>
      </c>
      <c r="D48" s="234"/>
      <c r="E48" s="24">
        <f>F46</f>
        <v>54292</v>
      </c>
      <c r="F48" s="27">
        <v>54352</v>
      </c>
      <c r="G48" s="26">
        <f t="shared" si="2"/>
        <v>60</v>
      </c>
      <c r="H48" s="133" t="s">
        <v>45</v>
      </c>
      <c r="I48" s="21">
        <f t="shared" si="0"/>
        <v>60</v>
      </c>
      <c r="M48" s="295"/>
      <c r="N48" s="1"/>
      <c r="O48" s="1"/>
      <c r="P48" s="1"/>
      <c r="Q48" s="228">
        <f t="shared" si="3"/>
        <v>0</v>
      </c>
    </row>
    <row r="49" spans="1:17" ht="15" x14ac:dyDescent="0.25">
      <c r="A49" s="28"/>
      <c r="B49" s="133"/>
      <c r="C49" s="234" t="s">
        <v>53</v>
      </c>
      <c r="D49" s="234"/>
      <c r="E49" s="24">
        <f t="shared" si="1"/>
        <v>54352</v>
      </c>
      <c r="F49" s="27">
        <v>54354</v>
      </c>
      <c r="G49" s="26">
        <f t="shared" si="2"/>
        <v>2</v>
      </c>
      <c r="H49" s="133" t="s">
        <v>45</v>
      </c>
      <c r="I49" s="21">
        <f t="shared" si="0"/>
        <v>2</v>
      </c>
      <c r="M49" s="295"/>
      <c r="N49" s="95"/>
      <c r="O49" s="1"/>
      <c r="P49" s="1"/>
      <c r="Q49" s="228">
        <f t="shared" si="3"/>
        <v>0</v>
      </c>
    </row>
    <row r="50" spans="1:17" ht="15" x14ac:dyDescent="0.25">
      <c r="A50" s="28"/>
      <c r="B50" s="133"/>
      <c r="C50" s="234" t="s">
        <v>52</v>
      </c>
      <c r="D50" s="234"/>
      <c r="E50" s="24">
        <f t="shared" si="1"/>
        <v>54354</v>
      </c>
      <c r="F50" s="27">
        <v>54357</v>
      </c>
      <c r="G50" s="26">
        <f t="shared" si="2"/>
        <v>3</v>
      </c>
      <c r="H50" s="133" t="s">
        <v>45</v>
      </c>
      <c r="I50" s="21">
        <f t="shared" ref="I50:I83" si="4">IF(H50="Business", G50, "0")</f>
        <v>3</v>
      </c>
      <c r="J50" s="131">
        <v>54396</v>
      </c>
      <c r="K50" s="52">
        <v>68.08</v>
      </c>
      <c r="M50" s="295"/>
      <c r="N50" s="1"/>
      <c r="O50" s="1"/>
      <c r="P50" s="1"/>
      <c r="Q50" s="228">
        <f t="shared" si="3"/>
        <v>0</v>
      </c>
    </row>
    <row r="51" spans="1:17" ht="15" x14ac:dyDescent="0.25">
      <c r="A51" s="28"/>
      <c r="B51" s="133"/>
      <c r="C51" s="234" t="s">
        <v>51</v>
      </c>
      <c r="D51" s="234"/>
      <c r="E51" s="24">
        <f t="shared" ref="E51:E110" si="5">F50</f>
        <v>54357</v>
      </c>
      <c r="F51" s="27">
        <v>54407</v>
      </c>
      <c r="G51" s="26">
        <f t="shared" si="2"/>
        <v>50</v>
      </c>
      <c r="H51" s="133" t="s">
        <v>45</v>
      </c>
      <c r="I51" s="21">
        <f t="shared" si="4"/>
        <v>50</v>
      </c>
      <c r="M51" s="295"/>
      <c r="Q51" s="228">
        <f t="shared" si="3"/>
        <v>0</v>
      </c>
    </row>
    <row r="52" spans="1:17" ht="15" x14ac:dyDescent="0.25">
      <c r="A52" s="28">
        <v>40750</v>
      </c>
      <c r="B52" s="133" t="s">
        <v>240</v>
      </c>
      <c r="C52" s="234" t="s">
        <v>46</v>
      </c>
      <c r="D52" s="234"/>
      <c r="E52" s="24">
        <f t="shared" si="5"/>
        <v>54407</v>
      </c>
      <c r="F52" s="27">
        <v>54509</v>
      </c>
      <c r="G52" s="26">
        <f t="shared" si="2"/>
        <v>102</v>
      </c>
      <c r="H52" s="133" t="s">
        <v>45</v>
      </c>
      <c r="I52" s="21">
        <f t="shared" si="4"/>
        <v>102</v>
      </c>
      <c r="M52" s="295"/>
      <c r="Q52" s="228">
        <f t="shared" si="3"/>
        <v>0</v>
      </c>
    </row>
    <row r="53" spans="1:17" ht="15" x14ac:dyDescent="0.25">
      <c r="A53" s="28">
        <v>40751</v>
      </c>
      <c r="B53" s="133" t="s">
        <v>240</v>
      </c>
      <c r="C53" s="234" t="s">
        <v>50</v>
      </c>
      <c r="D53" s="234"/>
      <c r="E53" s="24">
        <f t="shared" si="5"/>
        <v>54509</v>
      </c>
      <c r="F53" s="27">
        <v>54569</v>
      </c>
      <c r="G53" s="26">
        <f t="shared" si="2"/>
        <v>60</v>
      </c>
      <c r="H53" s="133" t="s">
        <v>45</v>
      </c>
      <c r="I53" s="21">
        <f t="shared" si="4"/>
        <v>60</v>
      </c>
      <c r="M53" s="295"/>
      <c r="Q53" s="228">
        <f t="shared" si="3"/>
        <v>0</v>
      </c>
    </row>
    <row r="54" spans="1:17" ht="15" x14ac:dyDescent="0.25">
      <c r="A54" s="28"/>
      <c r="B54" s="133"/>
      <c r="C54" s="234" t="s">
        <v>49</v>
      </c>
      <c r="D54" s="234"/>
      <c r="E54" s="24">
        <f t="shared" si="5"/>
        <v>54569</v>
      </c>
      <c r="F54" s="27">
        <v>54624</v>
      </c>
      <c r="G54" s="26">
        <f t="shared" si="2"/>
        <v>55</v>
      </c>
      <c r="H54" s="133" t="s">
        <v>45</v>
      </c>
      <c r="I54" s="21">
        <f t="shared" si="4"/>
        <v>55</v>
      </c>
      <c r="M54" s="295"/>
      <c r="Q54" s="228">
        <f t="shared" si="3"/>
        <v>0</v>
      </c>
    </row>
    <row r="55" spans="1:17" ht="15" x14ac:dyDescent="0.25">
      <c r="A55" s="28">
        <v>40752</v>
      </c>
      <c r="B55" s="133" t="s">
        <v>240</v>
      </c>
      <c r="C55" s="234" t="s">
        <v>46</v>
      </c>
      <c r="D55" s="234"/>
      <c r="E55" s="24">
        <f t="shared" si="5"/>
        <v>54624</v>
      </c>
      <c r="F55" s="27">
        <v>54726</v>
      </c>
      <c r="G55" s="26">
        <f t="shared" si="2"/>
        <v>102</v>
      </c>
      <c r="H55" s="133" t="s">
        <v>45</v>
      </c>
      <c r="I55" s="21">
        <f t="shared" si="4"/>
        <v>102</v>
      </c>
      <c r="J55" s="131">
        <v>54715</v>
      </c>
      <c r="K55" s="52">
        <v>53.96</v>
      </c>
      <c r="M55" s="295"/>
      <c r="Q55" s="228">
        <f t="shared" si="3"/>
        <v>0</v>
      </c>
    </row>
    <row r="56" spans="1:17" ht="15" x14ac:dyDescent="0.25">
      <c r="A56" s="28">
        <v>40753</v>
      </c>
      <c r="B56" s="133" t="s">
        <v>240</v>
      </c>
      <c r="C56" s="234" t="s">
        <v>48</v>
      </c>
      <c r="D56" s="234"/>
      <c r="E56" s="24">
        <f t="shared" si="5"/>
        <v>54726</v>
      </c>
      <c r="F56" s="27">
        <v>54766</v>
      </c>
      <c r="G56" s="26">
        <f t="shared" si="2"/>
        <v>40</v>
      </c>
      <c r="H56" s="133" t="s">
        <v>45</v>
      </c>
      <c r="I56" s="21">
        <f t="shared" si="4"/>
        <v>40</v>
      </c>
      <c r="M56" s="295"/>
      <c r="Q56" s="228">
        <f t="shared" si="3"/>
        <v>0</v>
      </c>
    </row>
    <row r="57" spans="1:17" ht="15" x14ac:dyDescent="0.25">
      <c r="A57" s="28">
        <v>40754</v>
      </c>
      <c r="B57" s="133" t="s">
        <v>240</v>
      </c>
      <c r="C57" s="234" t="s">
        <v>47</v>
      </c>
      <c r="D57" s="234"/>
      <c r="E57" s="24">
        <f t="shared" si="5"/>
        <v>54766</v>
      </c>
      <c r="F57" s="27">
        <v>54911</v>
      </c>
      <c r="G57" s="26">
        <f t="shared" si="2"/>
        <v>145</v>
      </c>
      <c r="H57" s="133" t="s">
        <v>45</v>
      </c>
      <c r="I57" s="21">
        <f t="shared" si="4"/>
        <v>145</v>
      </c>
      <c r="M57" s="295"/>
      <c r="Q57" s="228">
        <f t="shared" si="3"/>
        <v>0</v>
      </c>
    </row>
    <row r="58" spans="1:17" ht="15" x14ac:dyDescent="0.25">
      <c r="A58" s="28">
        <v>40755</v>
      </c>
      <c r="B58" s="133" t="s">
        <v>240</v>
      </c>
      <c r="C58" s="234" t="s">
        <v>47</v>
      </c>
      <c r="D58" s="234"/>
      <c r="E58" s="24">
        <f t="shared" si="5"/>
        <v>54911</v>
      </c>
      <c r="F58" s="27">
        <v>55052</v>
      </c>
      <c r="G58" s="26">
        <f t="shared" si="2"/>
        <v>141</v>
      </c>
      <c r="H58" s="133" t="s">
        <v>45</v>
      </c>
      <c r="I58" s="21">
        <f t="shared" si="4"/>
        <v>141</v>
      </c>
      <c r="J58" s="131">
        <v>55041</v>
      </c>
      <c r="K58" s="52">
        <v>49.57</v>
      </c>
      <c r="M58" s="295"/>
      <c r="Q58" s="228">
        <f t="shared" si="3"/>
        <v>0</v>
      </c>
    </row>
    <row r="59" spans="1:17" ht="15" x14ac:dyDescent="0.25">
      <c r="A59" s="28">
        <v>40756</v>
      </c>
      <c r="B59" s="133" t="s">
        <v>240</v>
      </c>
      <c r="C59" s="234" t="s">
        <v>46</v>
      </c>
      <c r="D59" s="234"/>
      <c r="E59" s="24">
        <f t="shared" si="5"/>
        <v>55052</v>
      </c>
      <c r="F59" s="27">
        <v>55153</v>
      </c>
      <c r="G59" s="26">
        <f t="shared" si="2"/>
        <v>101</v>
      </c>
      <c r="H59" s="133" t="s">
        <v>45</v>
      </c>
      <c r="I59" s="21">
        <f t="shared" si="4"/>
        <v>101</v>
      </c>
      <c r="M59" s="295"/>
      <c r="Q59" s="228">
        <f t="shared" si="3"/>
        <v>0</v>
      </c>
    </row>
    <row r="60" spans="1:17" ht="15" x14ac:dyDescent="0.25">
      <c r="A60" s="28">
        <v>40757</v>
      </c>
      <c r="B60" s="133" t="s">
        <v>240</v>
      </c>
      <c r="C60" s="234" t="s">
        <v>46</v>
      </c>
      <c r="D60" s="234"/>
      <c r="E60" s="24">
        <f t="shared" si="5"/>
        <v>55153</v>
      </c>
      <c r="F60" s="27">
        <v>55255</v>
      </c>
      <c r="G60" s="26">
        <f t="shared" si="2"/>
        <v>102</v>
      </c>
      <c r="H60" s="133" t="s">
        <v>45</v>
      </c>
      <c r="I60" s="21">
        <f t="shared" si="4"/>
        <v>102</v>
      </c>
      <c r="M60" s="295"/>
      <c r="Q60" s="228">
        <f t="shared" si="3"/>
        <v>0</v>
      </c>
    </row>
    <row r="61" spans="1:17" ht="15" x14ac:dyDescent="0.25">
      <c r="A61" s="28">
        <v>40758</v>
      </c>
      <c r="B61" s="133" t="s">
        <v>240</v>
      </c>
      <c r="C61" s="234" t="s">
        <v>46</v>
      </c>
      <c r="D61" s="234"/>
      <c r="E61" s="24">
        <f t="shared" si="5"/>
        <v>55255</v>
      </c>
      <c r="F61" s="27">
        <v>55356</v>
      </c>
      <c r="G61" s="26">
        <f t="shared" si="2"/>
        <v>101</v>
      </c>
      <c r="H61" s="133" t="s">
        <v>45</v>
      </c>
      <c r="I61" s="21">
        <f t="shared" si="4"/>
        <v>101</v>
      </c>
      <c r="M61" s="295"/>
      <c r="Q61" s="228">
        <f t="shared" si="3"/>
        <v>0</v>
      </c>
    </row>
    <row r="62" spans="1:17" ht="15" x14ac:dyDescent="0.25">
      <c r="A62" s="28">
        <v>40759</v>
      </c>
      <c r="B62" s="133" t="s">
        <v>240</v>
      </c>
      <c r="C62" s="234" t="s">
        <v>46</v>
      </c>
      <c r="D62" s="234"/>
      <c r="E62" s="24">
        <f t="shared" si="5"/>
        <v>55356</v>
      </c>
      <c r="F62" s="27">
        <v>55457</v>
      </c>
      <c r="G62" s="26">
        <f t="shared" si="2"/>
        <v>101</v>
      </c>
      <c r="H62" s="133" t="s">
        <v>45</v>
      </c>
      <c r="I62" s="21">
        <f t="shared" si="4"/>
        <v>101</v>
      </c>
      <c r="J62" s="131">
        <v>55446</v>
      </c>
      <c r="K62" s="52">
        <v>60</v>
      </c>
      <c r="M62" s="295"/>
      <c r="Q62" s="228">
        <f t="shared" si="3"/>
        <v>0</v>
      </c>
    </row>
    <row r="63" spans="1:17" ht="15" x14ac:dyDescent="0.25">
      <c r="A63" s="28">
        <v>40760</v>
      </c>
      <c r="B63" s="133" t="s">
        <v>240</v>
      </c>
      <c r="C63" s="234" t="s">
        <v>46</v>
      </c>
      <c r="D63" s="234"/>
      <c r="E63" s="24">
        <f t="shared" si="5"/>
        <v>55457</v>
      </c>
      <c r="F63" s="27">
        <v>55557</v>
      </c>
      <c r="G63" s="26">
        <f t="shared" si="2"/>
        <v>100</v>
      </c>
      <c r="H63" s="133" t="s">
        <v>45</v>
      </c>
      <c r="I63" s="21">
        <f t="shared" si="4"/>
        <v>100</v>
      </c>
      <c r="M63" s="295"/>
      <c r="Q63" s="228">
        <f t="shared" si="3"/>
        <v>0</v>
      </c>
    </row>
    <row r="64" spans="1:17" ht="15" x14ac:dyDescent="0.25">
      <c r="A64" s="28">
        <v>40763</v>
      </c>
      <c r="B64" s="133" t="s">
        <v>240</v>
      </c>
      <c r="C64" s="234" t="s">
        <v>46</v>
      </c>
      <c r="D64" s="234"/>
      <c r="E64" s="24">
        <f t="shared" si="5"/>
        <v>55557</v>
      </c>
      <c r="F64" s="27">
        <v>55665</v>
      </c>
      <c r="G64" s="26">
        <f t="shared" si="2"/>
        <v>108</v>
      </c>
      <c r="H64" s="133" t="s">
        <v>45</v>
      </c>
      <c r="I64" s="21">
        <f t="shared" si="4"/>
        <v>108</v>
      </c>
      <c r="M64" s="295"/>
      <c r="Q64" s="228">
        <f t="shared" si="3"/>
        <v>0</v>
      </c>
    </row>
    <row r="65" spans="1:17" ht="15" x14ac:dyDescent="0.25">
      <c r="A65" s="28">
        <v>40764</v>
      </c>
      <c r="B65" s="133" t="s">
        <v>240</v>
      </c>
      <c r="C65" s="234" t="s">
        <v>141</v>
      </c>
      <c r="D65" s="234"/>
      <c r="E65" s="24">
        <f t="shared" si="5"/>
        <v>55665</v>
      </c>
      <c r="F65" s="27">
        <v>55767</v>
      </c>
      <c r="G65" s="26">
        <f t="shared" si="2"/>
        <v>102</v>
      </c>
      <c r="H65" s="133" t="s">
        <v>45</v>
      </c>
      <c r="I65" s="21">
        <f t="shared" si="4"/>
        <v>102</v>
      </c>
      <c r="J65" s="131">
        <v>55756</v>
      </c>
      <c r="K65" s="52">
        <v>49.33</v>
      </c>
      <c r="M65" s="295"/>
      <c r="Q65" s="228">
        <f t="shared" si="3"/>
        <v>0</v>
      </c>
    </row>
    <row r="66" spans="1:17" ht="15" x14ac:dyDescent="0.25">
      <c r="A66" s="28">
        <v>40765</v>
      </c>
      <c r="B66" s="133" t="s">
        <v>240</v>
      </c>
      <c r="C66" s="234" t="s">
        <v>142</v>
      </c>
      <c r="D66" s="234"/>
      <c r="E66" s="24">
        <f t="shared" si="5"/>
        <v>55767</v>
      </c>
      <c r="F66" s="27">
        <v>55882</v>
      </c>
      <c r="G66" s="26">
        <f t="shared" si="2"/>
        <v>115</v>
      </c>
      <c r="H66" s="133" t="s">
        <v>45</v>
      </c>
      <c r="I66" s="21">
        <f t="shared" si="4"/>
        <v>115</v>
      </c>
      <c r="M66" s="295"/>
      <c r="Q66" s="228">
        <f t="shared" si="3"/>
        <v>0</v>
      </c>
    </row>
    <row r="67" spans="1:17" ht="15" x14ac:dyDescent="0.25">
      <c r="A67" s="28">
        <v>40766</v>
      </c>
      <c r="B67" s="133" t="s">
        <v>240</v>
      </c>
      <c r="C67" s="234" t="s">
        <v>143</v>
      </c>
      <c r="D67" s="234"/>
      <c r="E67" s="24">
        <f t="shared" si="5"/>
        <v>55882</v>
      </c>
      <c r="F67" s="27">
        <v>56004</v>
      </c>
      <c r="G67" s="26">
        <f t="shared" si="2"/>
        <v>122</v>
      </c>
      <c r="H67" s="133" t="s">
        <v>45</v>
      </c>
      <c r="I67" s="21">
        <f t="shared" si="4"/>
        <v>122</v>
      </c>
      <c r="M67" s="295"/>
      <c r="Q67" s="228">
        <f t="shared" si="3"/>
        <v>0</v>
      </c>
    </row>
    <row r="68" spans="1:17" ht="15" x14ac:dyDescent="0.25">
      <c r="A68" s="28">
        <v>40767</v>
      </c>
      <c r="B68" s="133" t="s">
        <v>240</v>
      </c>
      <c r="C68" s="234" t="s">
        <v>142</v>
      </c>
      <c r="D68" s="234"/>
      <c r="E68" s="24">
        <f t="shared" si="5"/>
        <v>56004</v>
      </c>
      <c r="F68" s="27">
        <v>56112</v>
      </c>
      <c r="G68" s="26">
        <f t="shared" si="2"/>
        <v>108</v>
      </c>
      <c r="H68" s="133" t="s">
        <v>45</v>
      </c>
      <c r="I68" s="21">
        <f t="shared" si="4"/>
        <v>108</v>
      </c>
      <c r="J68" s="131">
        <v>56101</v>
      </c>
      <c r="K68" s="52">
        <v>55.91</v>
      </c>
      <c r="M68" s="295"/>
      <c r="Q68" s="228">
        <f t="shared" si="3"/>
        <v>0</v>
      </c>
    </row>
    <row r="69" spans="1:17" ht="28.9" customHeight="1" x14ac:dyDescent="0.25">
      <c r="A69" s="28" t="s">
        <v>241</v>
      </c>
      <c r="B69" s="133" t="s">
        <v>216</v>
      </c>
      <c r="C69" s="280" t="s">
        <v>24</v>
      </c>
      <c r="D69" s="281"/>
      <c r="E69" s="24">
        <v>22967</v>
      </c>
      <c r="F69" s="27">
        <v>23140</v>
      </c>
      <c r="G69" s="26">
        <f t="shared" si="2"/>
        <v>173</v>
      </c>
      <c r="H69" s="133" t="s">
        <v>45</v>
      </c>
      <c r="I69" s="21">
        <f t="shared" si="4"/>
        <v>173</v>
      </c>
      <c r="M69" s="295"/>
      <c r="Q69" s="228">
        <f t="shared" si="3"/>
        <v>0</v>
      </c>
    </row>
    <row r="70" spans="1:17" ht="15" x14ac:dyDescent="0.25">
      <c r="A70" s="28">
        <v>40770</v>
      </c>
      <c r="B70" s="133" t="s">
        <v>240</v>
      </c>
      <c r="C70" s="234" t="s">
        <v>144</v>
      </c>
      <c r="D70" s="234"/>
      <c r="E70" s="24">
        <f>F68</f>
        <v>56112</v>
      </c>
      <c r="F70" s="27">
        <v>56215</v>
      </c>
      <c r="G70" s="26">
        <f t="shared" si="2"/>
        <v>103</v>
      </c>
      <c r="H70" s="133" t="s">
        <v>45</v>
      </c>
      <c r="I70" s="21">
        <f t="shared" si="4"/>
        <v>103</v>
      </c>
      <c r="M70" s="295"/>
      <c r="Q70" s="228">
        <f t="shared" si="3"/>
        <v>0</v>
      </c>
    </row>
    <row r="71" spans="1:17" ht="15" x14ac:dyDescent="0.25">
      <c r="A71" s="28">
        <v>40771</v>
      </c>
      <c r="B71" s="133" t="s">
        <v>240</v>
      </c>
      <c r="C71" s="234" t="s">
        <v>145</v>
      </c>
      <c r="D71" s="234"/>
      <c r="E71" s="24">
        <f t="shared" si="5"/>
        <v>56215</v>
      </c>
      <c r="F71" s="27">
        <v>56267</v>
      </c>
      <c r="G71" s="26">
        <f t="shared" si="2"/>
        <v>52</v>
      </c>
      <c r="H71" s="133" t="s">
        <v>45</v>
      </c>
      <c r="I71" s="21">
        <f t="shared" si="4"/>
        <v>52</v>
      </c>
      <c r="M71" s="295"/>
      <c r="Q71" s="228">
        <f t="shared" si="3"/>
        <v>0</v>
      </c>
    </row>
    <row r="72" spans="1:17" ht="15" x14ac:dyDescent="0.25">
      <c r="A72" s="28">
        <v>40772</v>
      </c>
      <c r="B72" s="133" t="s">
        <v>240</v>
      </c>
      <c r="C72" s="234" t="s">
        <v>146</v>
      </c>
      <c r="D72" s="234"/>
      <c r="E72" s="24">
        <f t="shared" si="5"/>
        <v>56267</v>
      </c>
      <c r="F72" s="27">
        <v>56327</v>
      </c>
      <c r="G72" s="26">
        <f t="shared" si="2"/>
        <v>60</v>
      </c>
      <c r="H72" s="133" t="s">
        <v>45</v>
      </c>
      <c r="I72" s="21">
        <f t="shared" si="4"/>
        <v>60</v>
      </c>
      <c r="M72" s="295"/>
      <c r="Q72" s="228">
        <f t="shared" si="3"/>
        <v>0</v>
      </c>
    </row>
    <row r="73" spans="1:17" ht="15" x14ac:dyDescent="0.25">
      <c r="A73" s="28">
        <v>40773</v>
      </c>
      <c r="B73" s="133" t="s">
        <v>240</v>
      </c>
      <c r="C73" s="234" t="s">
        <v>142</v>
      </c>
      <c r="D73" s="234"/>
      <c r="E73" s="24">
        <f t="shared" si="5"/>
        <v>56327</v>
      </c>
      <c r="F73" s="27">
        <v>56437</v>
      </c>
      <c r="G73" s="26">
        <f t="shared" si="2"/>
        <v>110</v>
      </c>
      <c r="H73" s="133" t="s">
        <v>45</v>
      </c>
      <c r="I73" s="21">
        <f t="shared" si="4"/>
        <v>110</v>
      </c>
      <c r="J73" s="131">
        <v>56426</v>
      </c>
      <c r="K73" s="52">
        <v>49.62</v>
      </c>
      <c r="M73" s="295"/>
      <c r="Q73" s="228">
        <f t="shared" si="3"/>
        <v>0</v>
      </c>
    </row>
    <row r="74" spans="1:17" ht="15" x14ac:dyDescent="0.25">
      <c r="A74" s="28">
        <v>40774</v>
      </c>
      <c r="B74" s="133" t="s">
        <v>216</v>
      </c>
      <c r="C74" s="133" t="s">
        <v>18</v>
      </c>
      <c r="D74" s="133"/>
      <c r="E74" s="24">
        <v>23273</v>
      </c>
      <c r="F74" s="27">
        <v>23305</v>
      </c>
      <c r="G74" s="26">
        <f t="shared" si="2"/>
        <v>32</v>
      </c>
      <c r="H74" s="133" t="s">
        <v>45</v>
      </c>
      <c r="I74" s="21">
        <f t="shared" si="4"/>
        <v>32</v>
      </c>
      <c r="M74" s="295"/>
      <c r="Q74" s="228">
        <f t="shared" si="3"/>
        <v>0</v>
      </c>
    </row>
    <row r="75" spans="1:17" ht="15" x14ac:dyDescent="0.25">
      <c r="A75" s="28">
        <v>40774</v>
      </c>
      <c r="B75" s="133" t="s">
        <v>240</v>
      </c>
      <c r="C75" s="234" t="s">
        <v>147</v>
      </c>
      <c r="D75" s="234"/>
      <c r="E75" s="24">
        <f>F73</f>
        <v>56437</v>
      </c>
      <c r="F75" s="27">
        <v>56546</v>
      </c>
      <c r="G75" s="26">
        <f t="shared" si="2"/>
        <v>109</v>
      </c>
      <c r="H75" s="133" t="s">
        <v>45</v>
      </c>
      <c r="I75" s="21">
        <f t="shared" si="4"/>
        <v>109</v>
      </c>
      <c r="M75" s="295"/>
      <c r="Q75" s="228">
        <f t="shared" si="3"/>
        <v>0</v>
      </c>
    </row>
    <row r="76" spans="1:17" ht="15" x14ac:dyDescent="0.25">
      <c r="A76" s="28">
        <v>40776</v>
      </c>
      <c r="B76" s="133" t="s">
        <v>240</v>
      </c>
      <c r="C76" s="234" t="s">
        <v>148</v>
      </c>
      <c r="D76" s="234"/>
      <c r="E76" s="24">
        <f t="shared" si="5"/>
        <v>56546</v>
      </c>
      <c r="F76" s="27">
        <v>56688</v>
      </c>
      <c r="G76" s="26">
        <f t="shared" si="2"/>
        <v>142</v>
      </c>
      <c r="H76" s="133" t="s">
        <v>45</v>
      </c>
      <c r="I76" s="21">
        <f t="shared" si="4"/>
        <v>142</v>
      </c>
      <c r="J76" s="131">
        <v>56677</v>
      </c>
      <c r="K76" s="52">
        <v>38.92</v>
      </c>
      <c r="M76" s="295"/>
      <c r="Q76" s="228">
        <f t="shared" si="3"/>
        <v>0</v>
      </c>
    </row>
    <row r="77" spans="1:17" ht="15" x14ac:dyDescent="0.25">
      <c r="A77" s="28">
        <v>40777</v>
      </c>
      <c r="B77" s="133" t="s">
        <v>240</v>
      </c>
      <c r="C77" s="234" t="s">
        <v>147</v>
      </c>
      <c r="D77" s="234"/>
      <c r="E77" s="24">
        <f t="shared" si="5"/>
        <v>56688</v>
      </c>
      <c r="F77" s="27">
        <v>56791</v>
      </c>
      <c r="G77" s="26">
        <f t="shared" si="2"/>
        <v>103</v>
      </c>
      <c r="H77" s="133" t="s">
        <v>45</v>
      </c>
      <c r="I77" s="21">
        <f t="shared" si="4"/>
        <v>103</v>
      </c>
      <c r="M77" s="295"/>
      <c r="Q77" s="228">
        <f t="shared" si="3"/>
        <v>0</v>
      </c>
    </row>
    <row r="78" spans="1:17" ht="15" x14ac:dyDescent="0.25">
      <c r="A78" s="28">
        <v>40778</v>
      </c>
      <c r="B78" s="133" t="s">
        <v>240</v>
      </c>
      <c r="C78" s="234" t="s">
        <v>149</v>
      </c>
      <c r="D78" s="234"/>
      <c r="E78" s="24">
        <f t="shared" si="5"/>
        <v>56791</v>
      </c>
      <c r="F78" s="27">
        <v>56902</v>
      </c>
      <c r="G78" s="26">
        <f t="shared" si="2"/>
        <v>111</v>
      </c>
      <c r="H78" s="133" t="s">
        <v>45</v>
      </c>
      <c r="I78" s="21">
        <f t="shared" si="4"/>
        <v>111</v>
      </c>
      <c r="M78" s="295"/>
      <c r="Q78" s="228">
        <f t="shared" si="3"/>
        <v>0</v>
      </c>
    </row>
    <row r="79" spans="1:17" ht="15" x14ac:dyDescent="0.25">
      <c r="A79" s="28">
        <v>40779</v>
      </c>
      <c r="B79" s="133" t="s">
        <v>240</v>
      </c>
      <c r="C79" s="234" t="s">
        <v>150</v>
      </c>
      <c r="D79" s="234"/>
      <c r="E79" s="24">
        <f t="shared" si="5"/>
        <v>56902</v>
      </c>
      <c r="F79" s="27">
        <v>57009</v>
      </c>
      <c r="G79" s="26">
        <f t="shared" si="2"/>
        <v>107</v>
      </c>
      <c r="H79" s="133" t="s">
        <v>45</v>
      </c>
      <c r="I79" s="21">
        <f t="shared" si="4"/>
        <v>107</v>
      </c>
      <c r="J79" s="131">
        <v>56998</v>
      </c>
      <c r="K79" s="52">
        <v>49.07</v>
      </c>
      <c r="M79" s="295"/>
      <c r="Q79" s="228">
        <f t="shared" si="3"/>
        <v>0</v>
      </c>
    </row>
    <row r="80" spans="1:17" ht="14.45" customHeight="1" x14ac:dyDescent="0.25">
      <c r="A80" s="28">
        <v>40780</v>
      </c>
      <c r="B80" s="133" t="s">
        <v>240</v>
      </c>
      <c r="C80" s="234" t="s">
        <v>150</v>
      </c>
      <c r="D80" s="234"/>
      <c r="E80" s="24">
        <f t="shared" si="5"/>
        <v>57009</v>
      </c>
      <c r="F80" s="27">
        <v>57114</v>
      </c>
      <c r="G80" s="26">
        <f t="shared" si="2"/>
        <v>105</v>
      </c>
      <c r="H80" s="133" t="s">
        <v>45</v>
      </c>
      <c r="I80" s="21">
        <f t="shared" si="4"/>
        <v>105</v>
      </c>
      <c r="M80" s="295"/>
      <c r="Q80" s="228">
        <f t="shared" si="3"/>
        <v>0</v>
      </c>
    </row>
    <row r="81" spans="1:17" ht="15" x14ac:dyDescent="0.25">
      <c r="A81" s="28">
        <v>40781</v>
      </c>
      <c r="B81" s="133" t="s">
        <v>240</v>
      </c>
      <c r="C81" s="234" t="s">
        <v>150</v>
      </c>
      <c r="D81" s="234"/>
      <c r="E81" s="24">
        <f t="shared" si="5"/>
        <v>57114</v>
      </c>
      <c r="F81" s="27">
        <v>57219</v>
      </c>
      <c r="G81" s="26">
        <f t="shared" si="2"/>
        <v>105</v>
      </c>
      <c r="H81" s="133" t="s">
        <v>45</v>
      </c>
      <c r="I81" s="21">
        <f t="shared" si="4"/>
        <v>105</v>
      </c>
      <c r="M81" s="295"/>
      <c r="Q81" s="228">
        <f t="shared" si="3"/>
        <v>0</v>
      </c>
    </row>
    <row r="82" spans="1:17" ht="15" x14ac:dyDescent="0.25">
      <c r="A82" s="28">
        <v>40784</v>
      </c>
      <c r="B82" s="133" t="s">
        <v>240</v>
      </c>
      <c r="C82" s="234" t="s">
        <v>147</v>
      </c>
      <c r="D82" s="234"/>
      <c r="E82" s="24">
        <f t="shared" si="5"/>
        <v>57219</v>
      </c>
      <c r="F82" s="27">
        <v>57357</v>
      </c>
      <c r="G82" s="26">
        <f t="shared" si="2"/>
        <v>138</v>
      </c>
      <c r="H82" s="133" t="s">
        <v>45</v>
      </c>
      <c r="I82" s="21">
        <f t="shared" si="4"/>
        <v>138</v>
      </c>
      <c r="J82" s="131">
        <v>57346</v>
      </c>
      <c r="K82" s="52">
        <v>57.51</v>
      </c>
      <c r="M82" s="295"/>
      <c r="Q82" s="228">
        <f t="shared" si="3"/>
        <v>0</v>
      </c>
    </row>
    <row r="83" spans="1:17" ht="15" x14ac:dyDescent="0.25">
      <c r="A83" s="28">
        <v>40785</v>
      </c>
      <c r="B83" s="133" t="s">
        <v>240</v>
      </c>
      <c r="C83" s="234" t="s">
        <v>150</v>
      </c>
      <c r="D83" s="234"/>
      <c r="E83" s="24">
        <f t="shared" si="5"/>
        <v>57357</v>
      </c>
      <c r="F83" s="27">
        <v>57464</v>
      </c>
      <c r="G83" s="26">
        <f t="shared" si="2"/>
        <v>107</v>
      </c>
      <c r="H83" s="133" t="s">
        <v>45</v>
      </c>
      <c r="I83" s="21">
        <f t="shared" si="4"/>
        <v>107</v>
      </c>
      <c r="M83" s="295"/>
      <c r="Q83" s="228">
        <f t="shared" ref="Q83:Q132" si="6">P83-O83</f>
        <v>0</v>
      </c>
    </row>
    <row r="84" spans="1:17" ht="15" x14ac:dyDescent="0.25">
      <c r="A84" s="28">
        <v>40786</v>
      </c>
      <c r="B84" s="133" t="s">
        <v>240</v>
      </c>
      <c r="C84" s="234" t="s">
        <v>151</v>
      </c>
      <c r="D84" s="234"/>
      <c r="E84" s="24">
        <f t="shared" si="5"/>
        <v>57464</v>
      </c>
      <c r="F84" s="27">
        <v>57567</v>
      </c>
      <c r="G84" s="26">
        <f t="shared" ref="G84:G86" si="7">F84-E84</f>
        <v>103</v>
      </c>
      <c r="H84" s="133" t="s">
        <v>45</v>
      </c>
      <c r="I84" s="21">
        <f t="shared" ref="I84:I86" si="8">IF(H84="Business", G84, "0")</f>
        <v>103</v>
      </c>
      <c r="M84" s="295"/>
      <c r="Q84" s="228">
        <f t="shared" si="6"/>
        <v>0</v>
      </c>
    </row>
    <row r="85" spans="1:17" ht="15" x14ac:dyDescent="0.25">
      <c r="A85" s="28">
        <v>40787</v>
      </c>
      <c r="B85" s="133" t="s">
        <v>240</v>
      </c>
      <c r="C85" s="234" t="s">
        <v>147</v>
      </c>
      <c r="D85" s="234"/>
      <c r="E85" s="24">
        <f t="shared" si="5"/>
        <v>57567</v>
      </c>
      <c r="F85" s="27">
        <v>57697</v>
      </c>
      <c r="G85" s="26">
        <f t="shared" si="7"/>
        <v>130</v>
      </c>
      <c r="H85" s="133" t="s">
        <v>45</v>
      </c>
      <c r="I85" s="21">
        <f t="shared" si="8"/>
        <v>130</v>
      </c>
      <c r="M85" s="295"/>
      <c r="Q85" s="228">
        <f t="shared" si="6"/>
        <v>0</v>
      </c>
    </row>
    <row r="86" spans="1:17" ht="15" x14ac:dyDescent="0.25">
      <c r="A86" s="28">
        <v>40788</v>
      </c>
      <c r="B86" s="133" t="s">
        <v>240</v>
      </c>
      <c r="C86" s="279" t="s">
        <v>147</v>
      </c>
      <c r="D86" s="279"/>
      <c r="E86" s="24">
        <f t="shared" si="5"/>
        <v>57697</v>
      </c>
      <c r="F86" s="27">
        <v>57820</v>
      </c>
      <c r="G86" s="26">
        <f t="shared" si="7"/>
        <v>123</v>
      </c>
      <c r="H86" s="133" t="s">
        <v>45</v>
      </c>
      <c r="I86" s="21">
        <f t="shared" si="8"/>
        <v>123</v>
      </c>
      <c r="J86" s="131">
        <v>57770</v>
      </c>
      <c r="K86" s="52">
        <v>59.9</v>
      </c>
      <c r="M86" s="295"/>
      <c r="Q86" s="228">
        <f t="shared" si="6"/>
        <v>0</v>
      </c>
    </row>
    <row r="87" spans="1:17" ht="15" x14ac:dyDescent="0.25">
      <c r="A87" s="28">
        <v>40791</v>
      </c>
      <c r="B87" s="133" t="s">
        <v>240</v>
      </c>
      <c r="C87" s="279" t="s">
        <v>147</v>
      </c>
      <c r="D87" s="279"/>
      <c r="E87" s="24">
        <f t="shared" si="5"/>
        <v>57820</v>
      </c>
      <c r="F87" s="27">
        <v>57948</v>
      </c>
      <c r="G87" s="26">
        <f t="shared" ref="G87:G88" si="9">F87-E87</f>
        <v>128</v>
      </c>
      <c r="H87" s="133" t="s">
        <v>45</v>
      </c>
      <c r="I87" s="21">
        <f t="shared" ref="I87:I88" si="10">IF(H87="Business", G87, "0")</f>
        <v>128</v>
      </c>
      <c r="M87" s="295"/>
      <c r="Q87" s="228">
        <f t="shared" si="6"/>
        <v>0</v>
      </c>
    </row>
    <row r="88" spans="1:17" ht="15" x14ac:dyDescent="0.25">
      <c r="A88" s="28">
        <v>40792</v>
      </c>
      <c r="B88" s="133" t="s">
        <v>240</v>
      </c>
      <c r="C88" s="279" t="s">
        <v>147</v>
      </c>
      <c r="D88" s="279"/>
      <c r="E88" s="24">
        <f t="shared" si="5"/>
        <v>57948</v>
      </c>
      <c r="F88" s="27">
        <v>58050</v>
      </c>
      <c r="G88" s="26">
        <f t="shared" si="9"/>
        <v>102</v>
      </c>
      <c r="H88" s="133" t="s">
        <v>45</v>
      </c>
      <c r="I88" s="21">
        <f t="shared" si="10"/>
        <v>102</v>
      </c>
      <c r="J88" s="131">
        <v>58039</v>
      </c>
      <c r="K88" s="52">
        <v>44.96</v>
      </c>
      <c r="M88" s="295"/>
      <c r="Q88" s="228">
        <f t="shared" si="6"/>
        <v>0</v>
      </c>
    </row>
    <row r="89" spans="1:17" ht="15" x14ac:dyDescent="0.25">
      <c r="A89" s="28">
        <v>40793</v>
      </c>
      <c r="B89" s="133" t="s">
        <v>240</v>
      </c>
      <c r="C89" s="279" t="s">
        <v>189</v>
      </c>
      <c r="D89" s="279"/>
      <c r="E89" s="24">
        <f t="shared" si="5"/>
        <v>58050</v>
      </c>
      <c r="F89" s="27">
        <v>58167</v>
      </c>
      <c r="G89" s="26">
        <f t="shared" ref="G89:G111" si="11">F89-E89</f>
        <v>117</v>
      </c>
      <c r="H89" s="133" t="s">
        <v>45</v>
      </c>
      <c r="I89" s="21">
        <f t="shared" ref="I89:I111" si="12">IF(H89="Business", G89, "0")</f>
        <v>117</v>
      </c>
      <c r="M89" s="295"/>
      <c r="Q89" s="228">
        <f t="shared" si="6"/>
        <v>0</v>
      </c>
    </row>
    <row r="90" spans="1:17" ht="15" x14ac:dyDescent="0.25">
      <c r="A90" s="28">
        <v>40794</v>
      </c>
      <c r="B90" s="133" t="s">
        <v>240</v>
      </c>
      <c r="C90" s="279" t="s">
        <v>190</v>
      </c>
      <c r="D90" s="279"/>
      <c r="E90" s="24">
        <f t="shared" si="5"/>
        <v>58167</v>
      </c>
      <c r="F90" s="27">
        <v>58271</v>
      </c>
      <c r="G90" s="26">
        <f t="shared" si="11"/>
        <v>104</v>
      </c>
      <c r="H90" s="133" t="s">
        <v>45</v>
      </c>
      <c r="I90" s="21">
        <f t="shared" si="12"/>
        <v>104</v>
      </c>
      <c r="M90" s="295"/>
      <c r="Q90" s="228">
        <f t="shared" si="6"/>
        <v>0</v>
      </c>
    </row>
    <row r="91" spans="1:17" ht="15" x14ac:dyDescent="0.25">
      <c r="A91" s="28">
        <v>40795</v>
      </c>
      <c r="B91" s="133" t="s">
        <v>240</v>
      </c>
      <c r="C91" s="279" t="s">
        <v>191</v>
      </c>
      <c r="D91" s="279"/>
      <c r="E91" s="24">
        <f t="shared" si="5"/>
        <v>58271</v>
      </c>
      <c r="F91" s="27">
        <v>58378</v>
      </c>
      <c r="G91" s="26">
        <f t="shared" si="11"/>
        <v>107</v>
      </c>
      <c r="H91" s="133" t="s">
        <v>45</v>
      </c>
      <c r="I91" s="21">
        <f t="shared" si="12"/>
        <v>107</v>
      </c>
      <c r="M91" s="295"/>
      <c r="Q91" s="228">
        <f t="shared" si="6"/>
        <v>0</v>
      </c>
    </row>
    <row r="92" spans="1:17" ht="15" x14ac:dyDescent="0.25">
      <c r="A92" s="25">
        <v>40798</v>
      </c>
      <c r="B92" s="133" t="s">
        <v>240</v>
      </c>
      <c r="C92" s="279" t="s">
        <v>147</v>
      </c>
      <c r="D92" s="279"/>
      <c r="E92" s="24">
        <f t="shared" si="5"/>
        <v>58378</v>
      </c>
      <c r="F92" s="23">
        <v>58493</v>
      </c>
      <c r="G92" s="22">
        <f t="shared" si="11"/>
        <v>115</v>
      </c>
      <c r="H92" s="133" t="s">
        <v>45</v>
      </c>
      <c r="I92" s="21">
        <f t="shared" si="12"/>
        <v>115</v>
      </c>
      <c r="J92" s="131">
        <v>58395</v>
      </c>
      <c r="K92" s="52">
        <v>50.98</v>
      </c>
      <c r="M92" s="295"/>
      <c r="Q92" s="228">
        <f t="shared" si="6"/>
        <v>0</v>
      </c>
    </row>
    <row r="93" spans="1:17" ht="15" x14ac:dyDescent="0.25">
      <c r="A93" s="28">
        <v>40799</v>
      </c>
      <c r="B93" s="133" t="s">
        <v>240</v>
      </c>
      <c r="C93" s="136" t="s">
        <v>147</v>
      </c>
      <c r="D93" s="137"/>
      <c r="E93" s="24">
        <f t="shared" si="5"/>
        <v>58493</v>
      </c>
      <c r="F93" s="27">
        <v>58593</v>
      </c>
      <c r="G93" s="26">
        <f t="shared" si="11"/>
        <v>100</v>
      </c>
      <c r="H93" s="133" t="s">
        <v>45</v>
      </c>
      <c r="I93" s="21">
        <f t="shared" si="12"/>
        <v>100</v>
      </c>
      <c r="M93" s="295"/>
      <c r="Q93" s="228">
        <f t="shared" si="6"/>
        <v>0</v>
      </c>
    </row>
    <row r="94" spans="1:17" ht="15" x14ac:dyDescent="0.25">
      <c r="A94" s="28">
        <v>40800</v>
      </c>
      <c r="B94" s="133" t="s">
        <v>240</v>
      </c>
      <c r="C94" s="247" t="s">
        <v>147</v>
      </c>
      <c r="D94" s="248"/>
      <c r="E94" s="24">
        <f t="shared" si="5"/>
        <v>58593</v>
      </c>
      <c r="F94" s="27">
        <v>58711</v>
      </c>
      <c r="G94" s="26">
        <f t="shared" si="11"/>
        <v>118</v>
      </c>
      <c r="H94" s="133" t="s">
        <v>45</v>
      </c>
      <c r="I94" s="21">
        <f t="shared" si="12"/>
        <v>118</v>
      </c>
      <c r="M94" s="295"/>
      <c r="Q94" s="228">
        <f t="shared" si="6"/>
        <v>0</v>
      </c>
    </row>
    <row r="95" spans="1:17" ht="15" x14ac:dyDescent="0.25">
      <c r="A95" s="28">
        <v>40801</v>
      </c>
      <c r="B95" s="133" t="s">
        <v>240</v>
      </c>
      <c r="C95" s="247" t="s">
        <v>147</v>
      </c>
      <c r="D95" s="248"/>
      <c r="E95" s="24">
        <f t="shared" si="5"/>
        <v>58711</v>
      </c>
      <c r="F95" s="27">
        <v>58821</v>
      </c>
      <c r="G95" s="26">
        <f t="shared" si="11"/>
        <v>110</v>
      </c>
      <c r="H95" s="133" t="s">
        <v>45</v>
      </c>
      <c r="I95" s="21">
        <f t="shared" si="12"/>
        <v>110</v>
      </c>
      <c r="M95" s="295"/>
      <c r="Q95" s="228">
        <f t="shared" si="6"/>
        <v>0</v>
      </c>
    </row>
    <row r="96" spans="1:17" ht="15" customHeight="1" x14ac:dyDescent="0.25">
      <c r="A96" s="28">
        <v>40802</v>
      </c>
      <c r="B96" s="133" t="s">
        <v>240</v>
      </c>
      <c r="C96" s="247" t="s">
        <v>188</v>
      </c>
      <c r="D96" s="248"/>
      <c r="E96" s="24">
        <f t="shared" si="5"/>
        <v>58821</v>
      </c>
      <c r="F96" s="27">
        <v>58919</v>
      </c>
      <c r="G96" s="26">
        <f t="shared" si="11"/>
        <v>98</v>
      </c>
      <c r="H96" s="133" t="s">
        <v>45</v>
      </c>
      <c r="I96" s="21">
        <f t="shared" si="12"/>
        <v>98</v>
      </c>
      <c r="J96" s="131">
        <v>58824</v>
      </c>
      <c r="K96" s="52">
        <v>60.77</v>
      </c>
      <c r="M96" s="295"/>
      <c r="Q96" s="228">
        <f t="shared" si="6"/>
        <v>0</v>
      </c>
    </row>
    <row r="97" spans="1:18" ht="15" customHeight="1" x14ac:dyDescent="0.25">
      <c r="A97" s="28">
        <v>40804</v>
      </c>
      <c r="B97" s="133" t="s">
        <v>216</v>
      </c>
      <c r="C97" s="136" t="s">
        <v>169</v>
      </c>
      <c r="D97" s="137"/>
      <c r="E97" s="24">
        <v>24390</v>
      </c>
      <c r="F97" s="27">
        <v>24720</v>
      </c>
      <c r="G97" s="26">
        <f t="shared" si="11"/>
        <v>330</v>
      </c>
      <c r="H97" s="133" t="s">
        <v>45</v>
      </c>
      <c r="I97" s="21">
        <f t="shared" si="12"/>
        <v>330</v>
      </c>
      <c r="M97" s="295"/>
      <c r="Q97" s="228">
        <f t="shared" si="6"/>
        <v>0</v>
      </c>
    </row>
    <row r="98" spans="1:18" ht="15" customHeight="1" x14ac:dyDescent="0.25">
      <c r="A98" s="28">
        <v>40805</v>
      </c>
      <c r="B98" s="133" t="s">
        <v>216</v>
      </c>
      <c r="C98" s="136" t="s">
        <v>172</v>
      </c>
      <c r="D98" s="137"/>
      <c r="E98" s="24">
        <v>24720</v>
      </c>
      <c r="F98" s="27">
        <v>24734</v>
      </c>
      <c r="G98" s="26">
        <f t="shared" si="11"/>
        <v>14</v>
      </c>
      <c r="H98" s="133" t="s">
        <v>45</v>
      </c>
      <c r="I98" s="21">
        <f t="shared" si="12"/>
        <v>14</v>
      </c>
      <c r="M98" s="295"/>
      <c r="Q98" s="228">
        <f t="shared" si="6"/>
        <v>0</v>
      </c>
    </row>
    <row r="99" spans="1:18" ht="15" x14ac:dyDescent="0.25">
      <c r="A99" s="28">
        <v>40805</v>
      </c>
      <c r="B99" s="133" t="s">
        <v>192</v>
      </c>
      <c r="C99" s="136" t="s">
        <v>147</v>
      </c>
      <c r="D99" s="137"/>
      <c r="E99" s="24">
        <v>21083</v>
      </c>
      <c r="F99" s="27">
        <v>21178</v>
      </c>
      <c r="G99" s="26">
        <f t="shared" si="11"/>
        <v>95</v>
      </c>
      <c r="H99" s="133" t="s">
        <v>45</v>
      </c>
      <c r="I99" s="21">
        <f t="shared" si="12"/>
        <v>95</v>
      </c>
      <c r="M99" s="295"/>
      <c r="Q99" s="228">
        <f t="shared" si="6"/>
        <v>0</v>
      </c>
    </row>
    <row r="100" spans="1:18" ht="15" x14ac:dyDescent="0.25">
      <c r="A100" s="25">
        <v>40806</v>
      </c>
      <c r="B100" s="133" t="s">
        <v>192</v>
      </c>
      <c r="C100" s="279" t="s">
        <v>193</v>
      </c>
      <c r="D100" s="279"/>
      <c r="E100" s="24">
        <f t="shared" si="5"/>
        <v>21178</v>
      </c>
      <c r="F100" s="23">
        <v>21235</v>
      </c>
      <c r="G100" s="22">
        <f t="shared" si="11"/>
        <v>57</v>
      </c>
      <c r="H100" s="133" t="s">
        <v>45</v>
      </c>
      <c r="I100" s="21">
        <f t="shared" si="12"/>
        <v>57</v>
      </c>
      <c r="M100" s="295"/>
      <c r="Q100" s="228">
        <f t="shared" si="6"/>
        <v>0</v>
      </c>
    </row>
    <row r="101" spans="1:18" ht="15" x14ac:dyDescent="0.25">
      <c r="A101" s="25">
        <v>40807</v>
      </c>
      <c r="B101" s="133" t="s">
        <v>192</v>
      </c>
      <c r="C101" s="279" t="s">
        <v>194</v>
      </c>
      <c r="D101" s="279"/>
      <c r="E101" s="24">
        <f t="shared" si="5"/>
        <v>21235</v>
      </c>
      <c r="F101" s="23">
        <v>21292</v>
      </c>
      <c r="G101" s="22">
        <f t="shared" si="11"/>
        <v>57</v>
      </c>
      <c r="H101" s="133" t="s">
        <v>45</v>
      </c>
      <c r="I101" s="21">
        <f t="shared" si="12"/>
        <v>57</v>
      </c>
      <c r="M101" s="295"/>
      <c r="Q101" s="228">
        <f t="shared" si="6"/>
        <v>0</v>
      </c>
    </row>
    <row r="102" spans="1:18" ht="15" x14ac:dyDescent="0.25">
      <c r="A102" s="28">
        <v>40808</v>
      </c>
      <c r="B102" s="133" t="s">
        <v>192</v>
      </c>
      <c r="C102" s="279" t="s">
        <v>191</v>
      </c>
      <c r="D102" s="279"/>
      <c r="E102" s="24">
        <f t="shared" si="5"/>
        <v>21292</v>
      </c>
      <c r="F102" s="27">
        <v>21396</v>
      </c>
      <c r="G102" s="26">
        <f t="shared" si="11"/>
        <v>104</v>
      </c>
      <c r="H102" s="133" t="s">
        <v>45</v>
      </c>
      <c r="I102" s="21">
        <f t="shared" si="12"/>
        <v>104</v>
      </c>
      <c r="M102" s="295"/>
      <c r="Q102" s="228">
        <f t="shared" si="6"/>
        <v>0</v>
      </c>
    </row>
    <row r="103" spans="1:18" ht="15" x14ac:dyDescent="0.25">
      <c r="A103" s="25">
        <v>40809</v>
      </c>
      <c r="B103" s="133" t="s">
        <v>192</v>
      </c>
      <c r="C103" s="279" t="s">
        <v>147</v>
      </c>
      <c r="D103" s="279"/>
      <c r="E103" s="24">
        <f>F102</f>
        <v>21396</v>
      </c>
      <c r="F103" s="23">
        <v>21491</v>
      </c>
      <c r="G103" s="22">
        <f t="shared" si="11"/>
        <v>95</v>
      </c>
      <c r="H103" s="133" t="s">
        <v>45</v>
      </c>
      <c r="I103" s="21">
        <f t="shared" si="12"/>
        <v>95</v>
      </c>
      <c r="J103" s="131">
        <v>21445</v>
      </c>
      <c r="K103" s="52">
        <v>49.01</v>
      </c>
      <c r="M103" s="295"/>
      <c r="Q103" s="228">
        <f t="shared" si="6"/>
        <v>0</v>
      </c>
    </row>
    <row r="104" spans="1:18" ht="14.45" customHeight="1" x14ac:dyDescent="0.25">
      <c r="A104" s="25">
        <v>40809</v>
      </c>
      <c r="B104" s="133" t="s">
        <v>216</v>
      </c>
      <c r="C104" s="247" t="s">
        <v>184</v>
      </c>
      <c r="D104" s="248"/>
      <c r="E104" s="24">
        <v>24895</v>
      </c>
      <c r="F104" s="23">
        <v>24907</v>
      </c>
      <c r="G104" s="22">
        <f t="shared" si="11"/>
        <v>12</v>
      </c>
      <c r="H104" s="133" t="s">
        <v>45</v>
      </c>
      <c r="I104" s="21">
        <f t="shared" si="12"/>
        <v>12</v>
      </c>
      <c r="M104" s="295"/>
      <c r="Q104" s="228">
        <f t="shared" si="6"/>
        <v>0</v>
      </c>
    </row>
    <row r="105" spans="1:18" ht="14.45" customHeight="1" x14ac:dyDescent="0.25">
      <c r="A105" s="25">
        <v>40811</v>
      </c>
      <c r="B105" s="133" t="s">
        <v>216</v>
      </c>
      <c r="C105" s="136" t="s">
        <v>201</v>
      </c>
      <c r="D105" s="137"/>
      <c r="E105" s="24">
        <v>24960</v>
      </c>
      <c r="F105" s="23">
        <v>25319</v>
      </c>
      <c r="G105" s="22">
        <f t="shared" si="11"/>
        <v>359</v>
      </c>
      <c r="H105" s="133" t="s">
        <v>45</v>
      </c>
      <c r="I105" s="21">
        <f t="shared" si="12"/>
        <v>359</v>
      </c>
      <c r="M105" s="100"/>
      <c r="N105" s="101"/>
      <c r="O105" s="102"/>
      <c r="P105" s="101"/>
      <c r="Q105" s="228">
        <f t="shared" si="6"/>
        <v>0</v>
      </c>
      <c r="R105" s="101"/>
    </row>
    <row r="106" spans="1:18" ht="14.45" customHeight="1" x14ac:dyDescent="0.25">
      <c r="A106" s="25">
        <v>40812</v>
      </c>
      <c r="B106" s="133" t="s">
        <v>216</v>
      </c>
      <c r="C106" s="247" t="s">
        <v>203</v>
      </c>
      <c r="D106" s="248"/>
      <c r="E106" s="24">
        <v>25319</v>
      </c>
      <c r="F106" s="23">
        <v>25420</v>
      </c>
      <c r="G106" s="22">
        <f t="shared" si="11"/>
        <v>101</v>
      </c>
      <c r="H106" s="133" t="s">
        <v>45</v>
      </c>
      <c r="I106" s="21">
        <f t="shared" si="12"/>
        <v>101</v>
      </c>
      <c r="M106" s="100"/>
      <c r="N106" s="101"/>
      <c r="O106" s="102"/>
      <c r="P106" s="101"/>
      <c r="Q106" s="228">
        <f t="shared" si="6"/>
        <v>0</v>
      </c>
      <c r="R106" s="101"/>
    </row>
    <row r="107" spans="1:18" ht="14.45" customHeight="1" x14ac:dyDescent="0.25">
      <c r="A107" s="25">
        <v>40813</v>
      </c>
      <c r="B107" s="133" t="s">
        <v>216</v>
      </c>
      <c r="C107" s="136" t="s">
        <v>172</v>
      </c>
      <c r="D107" s="137"/>
      <c r="E107" s="24">
        <v>25420</v>
      </c>
      <c r="F107" s="23">
        <v>25435</v>
      </c>
      <c r="G107" s="22">
        <f t="shared" si="11"/>
        <v>15</v>
      </c>
      <c r="H107" s="133" t="s">
        <v>45</v>
      </c>
      <c r="I107" s="21">
        <f t="shared" si="12"/>
        <v>15</v>
      </c>
      <c r="M107" s="100"/>
      <c r="N107" s="101"/>
      <c r="O107" s="102"/>
      <c r="P107" s="101"/>
      <c r="Q107" s="228">
        <f t="shared" si="6"/>
        <v>0</v>
      </c>
      <c r="R107" s="101"/>
    </row>
    <row r="108" spans="1:18" ht="14.45" customHeight="1" x14ac:dyDescent="0.25">
      <c r="A108" s="25">
        <v>40813</v>
      </c>
      <c r="B108" s="133" t="s">
        <v>216</v>
      </c>
      <c r="C108" s="136" t="s">
        <v>207</v>
      </c>
      <c r="D108" s="137"/>
      <c r="E108" s="24">
        <v>25434</v>
      </c>
      <c r="F108" s="23">
        <v>25446</v>
      </c>
      <c r="G108" s="22">
        <f t="shared" si="11"/>
        <v>12</v>
      </c>
      <c r="H108" s="133" t="s">
        <v>45</v>
      </c>
      <c r="I108" s="21">
        <f t="shared" si="12"/>
        <v>12</v>
      </c>
      <c r="M108" s="100"/>
      <c r="N108" s="101"/>
      <c r="O108" s="102"/>
      <c r="P108" s="101"/>
      <c r="Q108" s="228">
        <f t="shared" si="6"/>
        <v>0</v>
      </c>
      <c r="R108" s="101"/>
    </row>
    <row r="109" spans="1:18" ht="15" x14ac:dyDescent="0.25">
      <c r="A109" s="28">
        <v>40815</v>
      </c>
      <c r="B109" s="133" t="s">
        <v>216</v>
      </c>
      <c r="C109" s="247" t="s">
        <v>147</v>
      </c>
      <c r="D109" s="248"/>
      <c r="E109" s="24">
        <v>25469</v>
      </c>
      <c r="F109" s="27">
        <v>25570</v>
      </c>
      <c r="G109" s="26">
        <f t="shared" si="11"/>
        <v>101</v>
      </c>
      <c r="H109" s="133" t="s">
        <v>45</v>
      </c>
      <c r="I109" s="21">
        <f t="shared" si="12"/>
        <v>101</v>
      </c>
      <c r="M109" s="295"/>
      <c r="Q109" s="228">
        <f t="shared" si="6"/>
        <v>0</v>
      </c>
    </row>
    <row r="110" spans="1:18" ht="15" x14ac:dyDescent="0.25">
      <c r="A110" s="28">
        <v>40816</v>
      </c>
      <c r="B110" s="133" t="s">
        <v>216</v>
      </c>
      <c r="C110" s="247" t="s">
        <v>147</v>
      </c>
      <c r="D110" s="248"/>
      <c r="E110" s="24">
        <f t="shared" si="5"/>
        <v>25570</v>
      </c>
      <c r="F110" s="27">
        <v>25672</v>
      </c>
      <c r="G110" s="26">
        <f t="shared" si="11"/>
        <v>102</v>
      </c>
      <c r="H110" s="133" t="s">
        <v>45</v>
      </c>
      <c r="I110" s="21">
        <f t="shared" si="12"/>
        <v>102</v>
      </c>
      <c r="M110" s="295"/>
      <c r="Q110" s="228">
        <f t="shared" si="6"/>
        <v>0</v>
      </c>
    </row>
    <row r="111" spans="1:18" ht="15" customHeight="1" x14ac:dyDescent="0.25">
      <c r="A111" s="28">
        <v>40816</v>
      </c>
      <c r="B111" s="133" t="s">
        <v>216</v>
      </c>
      <c r="C111" s="247" t="s">
        <v>217</v>
      </c>
      <c r="D111" s="248"/>
      <c r="E111" s="24">
        <f>F110</f>
        <v>25672</v>
      </c>
      <c r="F111" s="27">
        <v>25695</v>
      </c>
      <c r="G111" s="26">
        <f t="shared" si="11"/>
        <v>23</v>
      </c>
      <c r="H111" s="133" t="s">
        <v>45</v>
      </c>
      <c r="I111" s="21">
        <f t="shared" si="12"/>
        <v>23</v>
      </c>
      <c r="J111" s="131">
        <v>25661</v>
      </c>
      <c r="K111" s="52">
        <v>67.63</v>
      </c>
      <c r="L111" s="128"/>
      <c r="M111" s="129"/>
      <c r="N111" s="127"/>
      <c r="O111" s="129"/>
      <c r="P111" s="129"/>
      <c r="Q111" s="228">
        <f t="shared" si="6"/>
        <v>0</v>
      </c>
    </row>
    <row r="112" spans="1:18" ht="15" customHeight="1" x14ac:dyDescent="0.25">
      <c r="A112" s="138">
        <v>40824</v>
      </c>
      <c r="B112" s="139" t="s">
        <v>216</v>
      </c>
      <c r="C112" s="140" t="s">
        <v>242</v>
      </c>
      <c r="D112" s="140"/>
      <c r="E112" s="141">
        <v>25823</v>
      </c>
      <c r="F112" s="142">
        <v>25924</v>
      </c>
      <c r="G112" s="26">
        <f t="shared" ref="G112:G130" si="13">F112-E112</f>
        <v>101</v>
      </c>
      <c r="H112" s="133" t="s">
        <v>45</v>
      </c>
      <c r="I112" s="21">
        <f t="shared" ref="I112:I130" si="14">IF(H112="Business", G112, "0")</f>
        <v>101</v>
      </c>
      <c r="L112" s="128"/>
      <c r="M112" s="129"/>
      <c r="N112" s="127"/>
      <c r="O112" s="129"/>
      <c r="P112" s="129"/>
      <c r="Q112" s="228">
        <f t="shared" si="6"/>
        <v>0</v>
      </c>
    </row>
    <row r="113" spans="1:17" ht="15" customHeight="1" x14ac:dyDescent="0.25">
      <c r="A113" s="138">
        <v>40825</v>
      </c>
      <c r="B113" s="139"/>
      <c r="C113" s="140" t="s">
        <v>243</v>
      </c>
      <c r="D113" s="140"/>
      <c r="E113" s="141">
        <v>25924</v>
      </c>
      <c r="F113" s="142">
        <v>26150</v>
      </c>
      <c r="G113" s="26">
        <f t="shared" si="13"/>
        <v>226</v>
      </c>
      <c r="H113" s="133" t="s">
        <v>45</v>
      </c>
      <c r="I113" s="21">
        <f t="shared" si="14"/>
        <v>226</v>
      </c>
      <c r="L113" s="128"/>
      <c r="M113" s="129"/>
      <c r="N113" s="127"/>
      <c r="O113" s="129"/>
      <c r="P113" s="129"/>
      <c r="Q113" s="228">
        <f t="shared" si="6"/>
        <v>0</v>
      </c>
    </row>
    <row r="114" spans="1:17" ht="15" customHeight="1" x14ac:dyDescent="0.25">
      <c r="A114" s="138">
        <v>40828</v>
      </c>
      <c r="B114" s="139" t="s">
        <v>244</v>
      </c>
      <c r="C114" s="140" t="s">
        <v>245</v>
      </c>
      <c r="D114" s="140"/>
      <c r="E114" s="141">
        <v>58927</v>
      </c>
      <c r="F114" s="142">
        <v>59039</v>
      </c>
      <c r="G114" s="143">
        <f t="shared" si="13"/>
        <v>112</v>
      </c>
      <c r="H114" s="133" t="s">
        <v>45</v>
      </c>
      <c r="I114" s="21">
        <f t="shared" si="14"/>
        <v>112</v>
      </c>
      <c r="J114" s="131">
        <v>59028</v>
      </c>
      <c r="K114" s="52">
        <v>42.1</v>
      </c>
      <c r="L114" s="128"/>
      <c r="M114" s="129"/>
      <c r="N114" s="127"/>
      <c r="O114" s="129"/>
      <c r="P114" s="129"/>
      <c r="Q114" s="228">
        <f t="shared" si="6"/>
        <v>0</v>
      </c>
    </row>
    <row r="115" spans="1:17" ht="15" customHeight="1" x14ac:dyDescent="0.25">
      <c r="A115" s="138">
        <v>40829</v>
      </c>
      <c r="B115" s="139" t="s">
        <v>216</v>
      </c>
      <c r="C115" s="140" t="s">
        <v>246</v>
      </c>
      <c r="D115" s="140"/>
      <c r="E115" s="141">
        <v>26150</v>
      </c>
      <c r="F115" s="142">
        <v>26277</v>
      </c>
      <c r="G115" s="143">
        <f t="shared" si="13"/>
        <v>127</v>
      </c>
      <c r="H115" s="133" t="s">
        <v>45</v>
      </c>
      <c r="I115" s="21">
        <f t="shared" si="14"/>
        <v>127</v>
      </c>
      <c r="J115" s="131">
        <v>26157</v>
      </c>
      <c r="K115" s="52">
        <v>54.44</v>
      </c>
      <c r="L115" s="128"/>
      <c r="M115" s="129"/>
      <c r="N115" s="127"/>
      <c r="O115" s="129"/>
      <c r="P115" s="129"/>
      <c r="Q115" s="228">
        <f t="shared" si="6"/>
        <v>0</v>
      </c>
    </row>
    <row r="116" spans="1:17" ht="15" customHeight="1" x14ac:dyDescent="0.25">
      <c r="A116" s="138">
        <v>40830</v>
      </c>
      <c r="B116" s="139" t="s">
        <v>216</v>
      </c>
      <c r="C116" s="287" t="s">
        <v>247</v>
      </c>
      <c r="D116" s="287"/>
      <c r="E116" s="141">
        <v>26277</v>
      </c>
      <c r="F116" s="142">
        <v>26417</v>
      </c>
      <c r="G116" s="143">
        <f t="shared" si="13"/>
        <v>140</v>
      </c>
      <c r="H116" s="133" t="s">
        <v>45</v>
      </c>
      <c r="I116" s="21">
        <f t="shared" si="14"/>
        <v>140</v>
      </c>
      <c r="L116" s="128"/>
      <c r="M116" s="129"/>
      <c r="N116" s="127"/>
      <c r="O116" s="129"/>
      <c r="P116" s="129"/>
      <c r="Q116" s="228">
        <f t="shared" si="6"/>
        <v>0</v>
      </c>
    </row>
    <row r="117" spans="1:17" ht="15" customHeight="1" x14ac:dyDescent="0.25">
      <c r="A117" s="138">
        <v>40832</v>
      </c>
      <c r="B117" s="139" t="s">
        <v>216</v>
      </c>
      <c r="C117" s="140" t="s">
        <v>248</v>
      </c>
      <c r="D117" s="140"/>
      <c r="E117" s="141">
        <v>26417</v>
      </c>
      <c r="F117" s="142">
        <v>26497</v>
      </c>
      <c r="G117" s="143">
        <f t="shared" si="13"/>
        <v>80</v>
      </c>
      <c r="H117" s="133" t="s">
        <v>45</v>
      </c>
      <c r="I117" s="21">
        <f t="shared" si="14"/>
        <v>80</v>
      </c>
      <c r="J117" s="131">
        <v>26467</v>
      </c>
      <c r="K117" s="52">
        <v>63.61</v>
      </c>
      <c r="L117" s="128"/>
      <c r="M117" s="129"/>
      <c r="N117" s="127"/>
      <c r="O117" s="129"/>
      <c r="P117" s="129"/>
      <c r="Q117" s="228">
        <f t="shared" si="6"/>
        <v>0</v>
      </c>
    </row>
    <row r="118" spans="1:17" ht="15" customHeight="1" x14ac:dyDescent="0.25">
      <c r="A118" s="138">
        <v>40833</v>
      </c>
      <c r="B118" s="139" t="s">
        <v>216</v>
      </c>
      <c r="C118" s="140" t="s">
        <v>246</v>
      </c>
      <c r="D118" s="140"/>
      <c r="E118" s="141">
        <v>26497</v>
      </c>
      <c r="F118" s="142">
        <v>26606</v>
      </c>
      <c r="G118" s="143">
        <f t="shared" si="13"/>
        <v>109</v>
      </c>
      <c r="H118" s="133" t="s">
        <v>45</v>
      </c>
      <c r="I118" s="21">
        <f t="shared" si="14"/>
        <v>109</v>
      </c>
      <c r="L118" s="128"/>
      <c r="M118" s="129"/>
      <c r="N118" s="127"/>
      <c r="O118" s="129"/>
      <c r="P118" s="129"/>
      <c r="Q118" s="228">
        <f t="shared" si="6"/>
        <v>0</v>
      </c>
    </row>
    <row r="119" spans="1:17" ht="15" customHeight="1" x14ac:dyDescent="0.25">
      <c r="A119" s="138">
        <v>40834</v>
      </c>
      <c r="B119" s="139" t="s">
        <v>216</v>
      </c>
      <c r="C119" s="140" t="s">
        <v>246</v>
      </c>
      <c r="D119" s="140"/>
      <c r="E119" s="141">
        <v>26606</v>
      </c>
      <c r="F119" s="142">
        <v>26721</v>
      </c>
      <c r="G119" s="143">
        <f t="shared" si="13"/>
        <v>115</v>
      </c>
      <c r="H119" s="133" t="s">
        <v>45</v>
      </c>
      <c r="I119" s="21">
        <f t="shared" si="14"/>
        <v>115</v>
      </c>
      <c r="J119" s="131">
        <v>26710</v>
      </c>
      <c r="K119" s="52">
        <v>51.6</v>
      </c>
      <c r="L119" s="128"/>
      <c r="M119" s="129"/>
      <c r="N119" s="127"/>
      <c r="O119" s="129"/>
      <c r="P119" s="129"/>
      <c r="Q119" s="228">
        <f t="shared" si="6"/>
        <v>0</v>
      </c>
    </row>
    <row r="120" spans="1:17" ht="15" customHeight="1" x14ac:dyDescent="0.25">
      <c r="A120" s="138">
        <v>40835</v>
      </c>
      <c r="B120" s="139" t="s">
        <v>216</v>
      </c>
      <c r="C120" s="140" t="s">
        <v>246</v>
      </c>
      <c r="D120" s="140"/>
      <c r="E120" s="141">
        <v>26721</v>
      </c>
      <c r="F120" s="142">
        <v>26829</v>
      </c>
      <c r="G120" s="143">
        <f t="shared" si="13"/>
        <v>108</v>
      </c>
      <c r="H120" s="133" t="s">
        <v>45</v>
      </c>
      <c r="I120" s="21">
        <f t="shared" si="14"/>
        <v>108</v>
      </c>
      <c r="L120" s="128"/>
      <c r="M120" s="129"/>
      <c r="N120" s="127"/>
      <c r="O120" s="129"/>
      <c r="P120" s="129"/>
      <c r="Q120" s="228">
        <f t="shared" si="6"/>
        <v>0</v>
      </c>
    </row>
    <row r="121" spans="1:17" ht="15" customHeight="1" x14ac:dyDescent="0.25">
      <c r="A121" s="138">
        <v>40836</v>
      </c>
      <c r="B121" s="139" t="s">
        <v>216</v>
      </c>
      <c r="C121" s="140" t="s">
        <v>246</v>
      </c>
      <c r="D121" s="140"/>
      <c r="E121" s="141">
        <v>26829</v>
      </c>
      <c r="F121" s="142">
        <v>26934</v>
      </c>
      <c r="G121" s="143">
        <f t="shared" si="13"/>
        <v>105</v>
      </c>
      <c r="H121" s="133" t="s">
        <v>45</v>
      </c>
      <c r="I121" s="21">
        <f t="shared" si="14"/>
        <v>105</v>
      </c>
      <c r="L121" s="128"/>
      <c r="M121" s="129"/>
      <c r="N121" s="127"/>
      <c r="O121" s="129"/>
      <c r="P121" s="129"/>
      <c r="Q121" s="228">
        <f t="shared" si="6"/>
        <v>0</v>
      </c>
    </row>
    <row r="122" spans="1:17" ht="15" customHeight="1" x14ac:dyDescent="0.25">
      <c r="A122" s="138">
        <v>40837</v>
      </c>
      <c r="B122" s="139" t="s">
        <v>216</v>
      </c>
      <c r="C122" s="140" t="s">
        <v>246</v>
      </c>
      <c r="D122" s="140"/>
      <c r="E122" s="141">
        <v>26934</v>
      </c>
      <c r="F122" s="142">
        <v>27044</v>
      </c>
      <c r="G122" s="143">
        <f t="shared" si="13"/>
        <v>110</v>
      </c>
      <c r="H122" s="133" t="s">
        <v>45</v>
      </c>
      <c r="I122" s="21">
        <f t="shared" si="14"/>
        <v>110</v>
      </c>
      <c r="J122" s="131">
        <v>27062</v>
      </c>
      <c r="K122" s="52">
        <v>72.34</v>
      </c>
      <c r="L122" s="128"/>
      <c r="M122" s="129"/>
      <c r="N122" s="127"/>
      <c r="O122" s="129"/>
      <c r="P122" s="129"/>
      <c r="Q122" s="228">
        <f t="shared" si="6"/>
        <v>0</v>
      </c>
    </row>
    <row r="123" spans="1:17" ht="15" customHeight="1" x14ac:dyDescent="0.25">
      <c r="A123" s="138">
        <v>40839</v>
      </c>
      <c r="B123" s="139" t="s">
        <v>216</v>
      </c>
      <c r="C123" s="140" t="s">
        <v>47</v>
      </c>
      <c r="D123" s="140"/>
      <c r="E123" s="141">
        <v>27044</v>
      </c>
      <c r="F123" s="142">
        <v>27235</v>
      </c>
      <c r="G123" s="143">
        <f t="shared" si="13"/>
        <v>191</v>
      </c>
      <c r="H123" s="133" t="s">
        <v>45</v>
      </c>
      <c r="I123" s="21">
        <f t="shared" si="14"/>
        <v>191</v>
      </c>
      <c r="J123" s="131">
        <v>27224</v>
      </c>
      <c r="K123" s="52">
        <v>37.880000000000003</v>
      </c>
      <c r="L123" s="128"/>
      <c r="M123" s="129"/>
      <c r="N123" s="127"/>
      <c r="O123" s="129"/>
      <c r="P123" s="129"/>
      <c r="Q123" s="228">
        <f t="shared" si="6"/>
        <v>0</v>
      </c>
    </row>
    <row r="124" spans="1:17" ht="15" customHeight="1" x14ac:dyDescent="0.25">
      <c r="A124" s="138">
        <v>40840</v>
      </c>
      <c r="B124" s="139" t="s">
        <v>216</v>
      </c>
      <c r="C124" s="140" t="s">
        <v>250</v>
      </c>
      <c r="D124" s="140"/>
      <c r="E124" s="141">
        <v>27235</v>
      </c>
      <c r="F124" s="142">
        <v>27340</v>
      </c>
      <c r="G124" s="143">
        <f t="shared" si="13"/>
        <v>105</v>
      </c>
      <c r="H124" s="133" t="s">
        <v>45</v>
      </c>
      <c r="I124" s="21">
        <f t="shared" si="14"/>
        <v>105</v>
      </c>
      <c r="L124" s="128"/>
      <c r="M124" s="129"/>
      <c r="N124" s="127"/>
      <c r="O124" s="129"/>
      <c r="P124" s="129"/>
      <c r="Q124" s="228">
        <f t="shared" si="6"/>
        <v>0</v>
      </c>
    </row>
    <row r="125" spans="1:17" ht="15" customHeight="1" x14ac:dyDescent="0.25">
      <c r="A125" s="138">
        <v>40841</v>
      </c>
      <c r="B125" s="139" t="s">
        <v>216</v>
      </c>
      <c r="C125" s="140" t="s">
        <v>246</v>
      </c>
      <c r="D125" s="140"/>
      <c r="E125" s="141">
        <v>27340</v>
      </c>
      <c r="F125" s="142">
        <v>27447</v>
      </c>
      <c r="G125" s="143">
        <f t="shared" si="13"/>
        <v>107</v>
      </c>
      <c r="H125" s="133" t="s">
        <v>45</v>
      </c>
      <c r="I125" s="21">
        <f t="shared" si="14"/>
        <v>107</v>
      </c>
      <c r="L125" s="128"/>
      <c r="M125" s="129"/>
      <c r="N125" s="127"/>
      <c r="O125" s="129"/>
      <c r="P125" s="129"/>
      <c r="Q125" s="228">
        <f t="shared" si="6"/>
        <v>0</v>
      </c>
    </row>
    <row r="126" spans="1:17" ht="15" customHeight="1" x14ac:dyDescent="0.25">
      <c r="A126" s="138">
        <v>40842</v>
      </c>
      <c r="B126" s="139" t="s">
        <v>216</v>
      </c>
      <c r="C126" s="140" t="s">
        <v>246</v>
      </c>
      <c r="D126" s="140"/>
      <c r="E126" s="141">
        <v>27447</v>
      </c>
      <c r="F126" s="142">
        <v>27553</v>
      </c>
      <c r="G126" s="143">
        <f t="shared" si="13"/>
        <v>106</v>
      </c>
      <c r="H126" s="133" t="s">
        <v>45</v>
      </c>
      <c r="I126" s="21">
        <f t="shared" si="14"/>
        <v>106</v>
      </c>
      <c r="L126" s="128"/>
      <c r="M126" s="129"/>
      <c r="N126" s="127"/>
      <c r="O126" s="129"/>
      <c r="P126" s="129"/>
      <c r="Q126" s="228">
        <f t="shared" si="6"/>
        <v>0</v>
      </c>
    </row>
    <row r="127" spans="1:17" ht="15" customHeight="1" x14ac:dyDescent="0.25">
      <c r="A127" s="138">
        <v>40843</v>
      </c>
      <c r="B127" s="139" t="s">
        <v>216</v>
      </c>
      <c r="C127" s="140" t="s">
        <v>246</v>
      </c>
      <c r="D127" s="140"/>
      <c r="E127" s="141">
        <v>27553</v>
      </c>
      <c r="F127" s="142">
        <v>27658</v>
      </c>
      <c r="G127" s="143">
        <f t="shared" si="13"/>
        <v>105</v>
      </c>
      <c r="H127" s="133" t="s">
        <v>45</v>
      </c>
      <c r="I127" s="21">
        <f t="shared" si="14"/>
        <v>105</v>
      </c>
      <c r="J127" s="131">
        <v>27555</v>
      </c>
      <c r="K127" s="52">
        <v>73.47</v>
      </c>
      <c r="L127" s="128"/>
      <c r="M127" s="129"/>
      <c r="N127" s="127"/>
      <c r="O127" s="129"/>
      <c r="P127" s="129"/>
      <c r="Q127" s="228">
        <f t="shared" si="6"/>
        <v>0</v>
      </c>
    </row>
    <row r="128" spans="1:17" ht="28.9" customHeight="1" x14ac:dyDescent="0.25">
      <c r="A128" s="138" t="s">
        <v>249</v>
      </c>
      <c r="B128" s="139" t="s">
        <v>216</v>
      </c>
      <c r="C128" s="140" t="s">
        <v>201</v>
      </c>
      <c r="D128" s="140"/>
      <c r="E128" s="141">
        <v>27658</v>
      </c>
      <c r="F128" s="142">
        <v>27975</v>
      </c>
      <c r="G128" s="143">
        <f t="shared" si="13"/>
        <v>317</v>
      </c>
      <c r="H128" s="133" t="s">
        <v>45</v>
      </c>
      <c r="I128" s="21">
        <f t="shared" si="14"/>
        <v>317</v>
      </c>
      <c r="J128" s="131">
        <v>27803</v>
      </c>
      <c r="K128" s="52">
        <v>45.89</v>
      </c>
      <c r="L128" s="128"/>
      <c r="M128" s="129"/>
      <c r="N128" s="127"/>
      <c r="O128" s="129"/>
      <c r="P128" s="129"/>
      <c r="Q128" s="228">
        <f t="shared" si="6"/>
        <v>0</v>
      </c>
    </row>
    <row r="129" spans="1:17" ht="15" customHeight="1" x14ac:dyDescent="0.25">
      <c r="A129" s="138">
        <v>40847</v>
      </c>
      <c r="B129" s="139" t="s">
        <v>216</v>
      </c>
      <c r="C129" s="140" t="s">
        <v>246</v>
      </c>
      <c r="D129" s="140"/>
      <c r="E129" s="141">
        <v>27975</v>
      </c>
      <c r="F129" s="142">
        <v>28084</v>
      </c>
      <c r="G129" s="143">
        <f t="shared" si="13"/>
        <v>109</v>
      </c>
      <c r="H129" s="133" t="s">
        <v>45</v>
      </c>
      <c r="I129" s="21">
        <f t="shared" si="14"/>
        <v>109</v>
      </c>
      <c r="L129" s="128"/>
      <c r="M129" s="129"/>
      <c r="N129" s="127"/>
      <c r="O129" s="129"/>
      <c r="P129" s="129"/>
      <c r="Q129" s="228">
        <f t="shared" si="6"/>
        <v>0</v>
      </c>
    </row>
    <row r="130" spans="1:17" ht="15" customHeight="1" thickBot="1" x14ac:dyDescent="0.3">
      <c r="A130" s="138">
        <v>40848</v>
      </c>
      <c r="B130" s="139" t="s">
        <v>216</v>
      </c>
      <c r="C130" s="140" t="s">
        <v>246</v>
      </c>
      <c r="D130" s="140"/>
      <c r="E130" s="141">
        <v>28084</v>
      </c>
      <c r="F130" s="142">
        <v>28199</v>
      </c>
      <c r="G130" s="143">
        <f t="shared" si="13"/>
        <v>115</v>
      </c>
      <c r="H130" s="133" t="s">
        <v>45</v>
      </c>
      <c r="I130" s="21">
        <f t="shared" si="14"/>
        <v>115</v>
      </c>
      <c r="J130" s="131">
        <v>28088</v>
      </c>
      <c r="K130" s="52">
        <v>52.11</v>
      </c>
      <c r="L130" s="128"/>
      <c r="M130" s="129"/>
      <c r="N130" s="127"/>
      <c r="O130" s="129"/>
      <c r="P130" s="129"/>
      <c r="Q130" s="228">
        <f t="shared" si="6"/>
        <v>0</v>
      </c>
    </row>
    <row r="131" spans="1:17" ht="26.25" thickBot="1" x14ac:dyDescent="0.25">
      <c r="A131" s="235"/>
      <c r="B131" s="235"/>
      <c r="C131" s="235"/>
      <c r="D131" s="235"/>
      <c r="E131" s="18"/>
      <c r="F131" s="20" t="s">
        <v>44</v>
      </c>
      <c r="G131" s="19">
        <f>SUM(G17:G130)</f>
        <v>10684</v>
      </c>
      <c r="H131" s="18"/>
      <c r="I131" s="17">
        <f>SUM(I17:I130)</f>
        <v>10684</v>
      </c>
      <c r="K131" s="52">
        <f>SUM(K17:K130)</f>
        <v>1622.9599999999998</v>
      </c>
      <c r="M131" s="295"/>
      <c r="Q131" s="228">
        <f t="shared" si="6"/>
        <v>0</v>
      </c>
    </row>
    <row r="132" spans="1:17" x14ac:dyDescent="0.2">
      <c r="A132" s="235"/>
      <c r="B132" s="235"/>
      <c r="C132" s="235"/>
      <c r="D132" s="235"/>
      <c r="E132" s="238"/>
      <c r="F132" s="239"/>
      <c r="G132" s="239"/>
      <c r="H132" s="240"/>
      <c r="I132" s="241"/>
      <c r="M132" s="295"/>
      <c r="Q132" s="228">
        <f t="shared" si="6"/>
        <v>0</v>
      </c>
    </row>
    <row r="133" spans="1:17" ht="15" x14ac:dyDescent="0.25">
      <c r="A133" s="235"/>
      <c r="B133" s="235"/>
      <c r="C133" s="235"/>
      <c r="D133" s="235"/>
      <c r="E133" s="242" t="s">
        <v>43</v>
      </c>
      <c r="F133" s="243"/>
      <c r="G133" s="16">
        <f>(I131/G131)</f>
        <v>1</v>
      </c>
      <c r="H133" s="134"/>
      <c r="I133" s="15"/>
      <c r="M133" s="295"/>
    </row>
    <row r="134" spans="1:17" ht="13.5" thickBot="1" x14ac:dyDescent="0.25">
      <c r="A134" s="235"/>
      <c r="B134" s="235"/>
      <c r="C134" s="235"/>
      <c r="D134" s="235"/>
      <c r="E134" s="244" t="s">
        <v>42</v>
      </c>
      <c r="F134" s="245"/>
      <c r="G134" s="245"/>
      <c r="H134" s="245"/>
      <c r="I134" s="246"/>
      <c r="M134" s="295"/>
    </row>
    <row r="135" spans="1:17" x14ac:dyDescent="0.2">
      <c r="A135" s="235"/>
      <c r="B135" s="235"/>
      <c r="C135" s="235"/>
      <c r="D135" s="235"/>
      <c r="E135" s="235"/>
      <c r="F135" s="236"/>
      <c r="G135" s="236"/>
      <c r="H135" s="236"/>
      <c r="I135" s="237"/>
      <c r="M135" s="295"/>
    </row>
    <row r="136" spans="1:17" x14ac:dyDescent="0.2">
      <c r="M136" s="295"/>
    </row>
  </sheetData>
  <mergeCells count="119">
    <mergeCell ref="C104:D104"/>
    <mergeCell ref="C106:D106"/>
    <mergeCell ref="C116:D116"/>
    <mergeCell ref="A1:I1"/>
    <mergeCell ref="A2:I2"/>
    <mergeCell ref="A3:I3"/>
    <mergeCell ref="B4:C4"/>
    <mergeCell ref="A5:I5"/>
    <mergeCell ref="A6:B6"/>
    <mergeCell ref="D6:I6"/>
    <mergeCell ref="A7:I7"/>
    <mergeCell ref="A8:B8"/>
    <mergeCell ref="A9:I9"/>
    <mergeCell ref="A10:B10"/>
    <mergeCell ref="A11:I11"/>
    <mergeCell ref="D12:I12"/>
    <mergeCell ref="A13:I13"/>
    <mergeCell ref="A14:I14"/>
    <mergeCell ref="A15:B15"/>
    <mergeCell ref="C15:D16"/>
    <mergeCell ref="E15:F15"/>
    <mergeCell ref="G15:G16"/>
    <mergeCell ref="H15:H16"/>
    <mergeCell ref="I15:I16"/>
    <mergeCell ref="J15:K15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8:D48"/>
    <mergeCell ref="C49:D49"/>
    <mergeCell ref="C50:D50"/>
    <mergeCell ref="C51:D51"/>
    <mergeCell ref="C52:D52"/>
    <mergeCell ref="C47:D47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70:D70"/>
    <mergeCell ref="C71:D71"/>
    <mergeCell ref="C69:D69"/>
    <mergeCell ref="C72:D72"/>
    <mergeCell ref="C73:D73"/>
    <mergeCell ref="C75:D75"/>
    <mergeCell ref="C76:D76"/>
    <mergeCell ref="C77:D77"/>
    <mergeCell ref="C78:D78"/>
    <mergeCell ref="C79:D79"/>
    <mergeCell ref="C80:D80"/>
    <mergeCell ref="C81:D81"/>
    <mergeCell ref="C103:D103"/>
    <mergeCell ref="C90:D90"/>
    <mergeCell ref="C91:D91"/>
    <mergeCell ref="C92:D92"/>
    <mergeCell ref="C100:D100"/>
    <mergeCell ref="C101:D101"/>
    <mergeCell ref="C96:D96"/>
    <mergeCell ref="C95:D95"/>
    <mergeCell ref="C94:D94"/>
    <mergeCell ref="C82:D82"/>
    <mergeCell ref="C83:D83"/>
    <mergeCell ref="C84:D84"/>
    <mergeCell ref="C85:D85"/>
    <mergeCell ref="C86:D86"/>
    <mergeCell ref="C87:D87"/>
    <mergeCell ref="C88:D88"/>
    <mergeCell ref="C89:D89"/>
    <mergeCell ref="C102:D102"/>
    <mergeCell ref="C110:D110"/>
    <mergeCell ref="C109:D109"/>
    <mergeCell ref="C111:D111"/>
    <mergeCell ref="A135:D135"/>
    <mergeCell ref="E135:I135"/>
    <mergeCell ref="A131:D131"/>
    <mergeCell ref="A132:D132"/>
    <mergeCell ref="E132:I132"/>
    <mergeCell ref="A133:D133"/>
    <mergeCell ref="E133:F133"/>
    <mergeCell ref="A134:D134"/>
    <mergeCell ref="E134:I134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0"/>
  <sheetViews>
    <sheetView topLeftCell="A22" workbookViewId="0">
      <selection activeCell="C9" sqref="C9:C69"/>
    </sheetView>
  </sheetViews>
  <sheetFormatPr defaultColWidth="8.85546875" defaultRowHeight="12.75" x14ac:dyDescent="0.2"/>
  <cols>
    <col min="1" max="1" width="14.28515625" style="5" customWidth="1"/>
    <col min="2" max="2" width="68.42578125" style="3" customWidth="1"/>
    <col min="3" max="3" width="14" style="4" customWidth="1"/>
    <col min="4" max="4" width="24.5703125" style="3" customWidth="1"/>
    <col min="5" max="5" width="10.85546875" style="3" customWidth="1"/>
    <col min="6" max="7" width="8.85546875" style="3"/>
    <col min="8" max="8" width="15.5703125" style="3" customWidth="1"/>
    <col min="9" max="16384" width="8.85546875" style="3"/>
  </cols>
  <sheetData>
    <row r="2" spans="1:9" ht="13.9" x14ac:dyDescent="0.3">
      <c r="B2" s="3" t="s">
        <v>41</v>
      </c>
    </row>
    <row r="4" spans="1:9" s="7" customFormat="1" ht="13.9" x14ac:dyDescent="0.3">
      <c r="A4" s="8"/>
      <c r="B4" s="7" t="s">
        <v>12</v>
      </c>
      <c r="C4" s="13" t="s">
        <v>11</v>
      </c>
      <c r="D4" s="7" t="s">
        <v>10</v>
      </c>
    </row>
    <row r="5" spans="1:9" ht="16.149999999999999" customHeight="1" x14ac:dyDescent="0.3">
      <c r="B5" s="3" t="s">
        <v>9</v>
      </c>
      <c r="C5" s="12" t="s">
        <v>8</v>
      </c>
      <c r="D5" s="3" t="s">
        <v>7</v>
      </c>
      <c r="G5" s="11" t="s">
        <v>6</v>
      </c>
      <c r="I5" s="3" t="s">
        <v>5</v>
      </c>
    </row>
    <row r="7" spans="1:9" ht="14.45" x14ac:dyDescent="0.3">
      <c r="A7" s="5" t="s">
        <v>2</v>
      </c>
      <c r="B7" s="10" t="s">
        <v>40</v>
      </c>
      <c r="C7" s="9">
        <f>SUM(C9:C180)</f>
        <v>34718.730000000003</v>
      </c>
      <c r="D7" s="3" t="s">
        <v>3</v>
      </c>
      <c r="E7" s="4">
        <f>C7*0.1</f>
        <v>3471.8730000000005</v>
      </c>
    </row>
    <row r="9" spans="1:9" s="40" customFormat="1" ht="15" x14ac:dyDescent="0.25">
      <c r="A9" s="41">
        <v>41000</v>
      </c>
      <c r="B9" s="40" t="s">
        <v>360</v>
      </c>
      <c r="C9" s="229">
        <v>10</v>
      </c>
    </row>
    <row r="10" spans="1:9" ht="15" x14ac:dyDescent="0.25">
      <c r="A10" s="5">
        <v>41030</v>
      </c>
      <c r="B10" s="40" t="s">
        <v>360</v>
      </c>
      <c r="C10" s="230">
        <v>10</v>
      </c>
    </row>
    <row r="11" spans="1:9" ht="15" x14ac:dyDescent="0.25">
      <c r="A11" s="5">
        <v>41061</v>
      </c>
      <c r="B11" s="40" t="s">
        <v>360</v>
      </c>
      <c r="C11" s="230">
        <v>10</v>
      </c>
    </row>
    <row r="12" spans="1:9" ht="15" x14ac:dyDescent="0.25">
      <c r="A12" s="5">
        <v>41061</v>
      </c>
      <c r="B12" s="40" t="s">
        <v>360</v>
      </c>
      <c r="C12" s="230">
        <v>10</v>
      </c>
      <c r="D12" s="3" t="s">
        <v>379</v>
      </c>
    </row>
    <row r="13" spans="1:9" x14ac:dyDescent="0.2">
      <c r="A13" s="5">
        <v>41018</v>
      </c>
      <c r="B13" s="3" t="s">
        <v>361</v>
      </c>
      <c r="C13" s="230">
        <v>200.37</v>
      </c>
    </row>
    <row r="14" spans="1:9" x14ac:dyDescent="0.2">
      <c r="A14" s="5">
        <v>41047</v>
      </c>
      <c r="B14" s="3" t="s">
        <v>361</v>
      </c>
      <c r="C14" s="230">
        <v>200.34</v>
      </c>
    </row>
    <row r="15" spans="1:9" x14ac:dyDescent="0.2">
      <c r="A15" s="5">
        <v>41047</v>
      </c>
      <c r="B15" s="3" t="s">
        <v>361</v>
      </c>
      <c r="C15" s="230">
        <v>4359.43</v>
      </c>
    </row>
    <row r="16" spans="1:9" x14ac:dyDescent="0.2">
      <c r="A16" s="5">
        <v>41001</v>
      </c>
      <c r="B16" s="3" t="s">
        <v>339</v>
      </c>
      <c r="C16" s="230">
        <v>331</v>
      </c>
    </row>
    <row r="17" spans="1:3" x14ac:dyDescent="0.2">
      <c r="A17" s="5">
        <v>41009</v>
      </c>
      <c r="B17" s="3" t="s">
        <v>339</v>
      </c>
      <c r="C17" s="230">
        <v>331</v>
      </c>
    </row>
    <row r="18" spans="1:3" x14ac:dyDescent="0.2">
      <c r="A18" s="5">
        <v>41015</v>
      </c>
      <c r="B18" s="3" t="s">
        <v>339</v>
      </c>
      <c r="C18" s="230">
        <v>331</v>
      </c>
    </row>
    <row r="19" spans="1:3" x14ac:dyDescent="0.2">
      <c r="A19" s="5">
        <v>41022</v>
      </c>
      <c r="B19" s="3" t="s">
        <v>339</v>
      </c>
      <c r="C19" s="230">
        <v>331</v>
      </c>
    </row>
    <row r="20" spans="1:3" x14ac:dyDescent="0.2">
      <c r="A20" s="5">
        <v>41029</v>
      </c>
      <c r="B20" s="3" t="s">
        <v>339</v>
      </c>
      <c r="C20" s="230">
        <v>331</v>
      </c>
    </row>
    <row r="21" spans="1:3" x14ac:dyDescent="0.2">
      <c r="A21" s="5">
        <v>41036</v>
      </c>
      <c r="B21" s="3" t="s">
        <v>339</v>
      </c>
      <c r="C21" s="230">
        <v>331</v>
      </c>
    </row>
    <row r="22" spans="1:3" x14ac:dyDescent="0.2">
      <c r="A22" s="5">
        <v>41043</v>
      </c>
      <c r="B22" s="3" t="s">
        <v>339</v>
      </c>
      <c r="C22" s="230">
        <v>331</v>
      </c>
    </row>
    <row r="23" spans="1:3" x14ac:dyDescent="0.2">
      <c r="A23" s="5">
        <v>41050</v>
      </c>
      <c r="B23" s="3" t="s">
        <v>339</v>
      </c>
      <c r="C23" s="230">
        <v>331</v>
      </c>
    </row>
    <row r="24" spans="1:3" x14ac:dyDescent="0.2">
      <c r="A24" s="5">
        <v>41057</v>
      </c>
      <c r="B24" s="3" t="s">
        <v>339</v>
      </c>
      <c r="C24" s="230">
        <v>331</v>
      </c>
    </row>
    <row r="25" spans="1:3" x14ac:dyDescent="0.2">
      <c r="A25" s="5">
        <v>41064</v>
      </c>
      <c r="B25" s="3" t="s">
        <v>339</v>
      </c>
      <c r="C25" s="230">
        <v>331</v>
      </c>
    </row>
    <row r="26" spans="1:3" x14ac:dyDescent="0.2">
      <c r="A26" s="5">
        <v>41072</v>
      </c>
      <c r="B26" s="3" t="s">
        <v>339</v>
      </c>
      <c r="C26" s="230">
        <v>331</v>
      </c>
    </row>
    <row r="27" spans="1:3" x14ac:dyDescent="0.2">
      <c r="A27" s="5">
        <v>41078</v>
      </c>
      <c r="B27" s="3" t="s">
        <v>339</v>
      </c>
      <c r="C27" s="230">
        <v>331</v>
      </c>
    </row>
    <row r="28" spans="1:3" x14ac:dyDescent="0.2">
      <c r="A28" s="5">
        <v>41085</v>
      </c>
      <c r="B28" s="3" t="s">
        <v>339</v>
      </c>
      <c r="C28" s="230">
        <v>331</v>
      </c>
    </row>
    <row r="29" spans="1:3" x14ac:dyDescent="0.2">
      <c r="A29" s="5">
        <v>41004</v>
      </c>
      <c r="B29" s="3" t="s">
        <v>182</v>
      </c>
      <c r="C29" s="230">
        <v>54</v>
      </c>
    </row>
    <row r="30" spans="1:3" x14ac:dyDescent="0.2">
      <c r="A30" s="5">
        <v>41032</v>
      </c>
      <c r="B30" s="3" t="s">
        <v>182</v>
      </c>
      <c r="C30" s="230">
        <v>25.42</v>
      </c>
    </row>
    <row r="31" spans="1:3" x14ac:dyDescent="0.2">
      <c r="A31" s="5">
        <v>41036</v>
      </c>
      <c r="B31" s="3" t="s">
        <v>182</v>
      </c>
      <c r="C31" s="230">
        <v>66.680000000000007</v>
      </c>
    </row>
    <row r="32" spans="1:3" x14ac:dyDescent="0.2">
      <c r="A32" s="5">
        <v>41064</v>
      </c>
      <c r="B32" s="3" t="s">
        <v>182</v>
      </c>
      <c r="C32" s="230">
        <v>48</v>
      </c>
    </row>
    <row r="33" spans="1:4" x14ac:dyDescent="0.2">
      <c r="A33" s="5">
        <v>41065</v>
      </c>
      <c r="B33" s="3" t="s">
        <v>182</v>
      </c>
      <c r="C33" s="230">
        <v>64</v>
      </c>
    </row>
    <row r="34" spans="1:4" x14ac:dyDescent="0.2">
      <c r="A34" s="5">
        <v>41001</v>
      </c>
      <c r="B34" s="3" t="s">
        <v>362</v>
      </c>
      <c r="C34" s="230">
        <v>62.93</v>
      </c>
    </row>
    <row r="35" spans="1:4" x14ac:dyDescent="0.2">
      <c r="A35" s="5">
        <v>41030</v>
      </c>
      <c r="B35" s="3" t="s">
        <v>362</v>
      </c>
      <c r="C35" s="230">
        <v>62.14</v>
      </c>
    </row>
    <row r="36" spans="1:4" x14ac:dyDescent="0.2">
      <c r="A36" s="5">
        <v>41061</v>
      </c>
      <c r="B36" s="3" t="s">
        <v>362</v>
      </c>
      <c r="C36" s="230">
        <v>63.57</v>
      </c>
    </row>
    <row r="37" spans="1:4" x14ac:dyDescent="0.2">
      <c r="A37" s="5">
        <v>41032</v>
      </c>
      <c r="B37" s="3" t="s">
        <v>363</v>
      </c>
      <c r="C37" s="230">
        <v>5000</v>
      </c>
      <c r="D37" s="3" t="s">
        <v>379</v>
      </c>
    </row>
    <row r="38" spans="1:4" x14ac:dyDescent="0.2">
      <c r="A38" s="5">
        <v>41040</v>
      </c>
      <c r="B38" s="3" t="s">
        <v>364</v>
      </c>
      <c r="C38" s="230">
        <v>909.76</v>
      </c>
    </row>
    <row r="39" spans="1:4" x14ac:dyDescent="0.2">
      <c r="A39" s="5">
        <v>41038</v>
      </c>
      <c r="B39" s="3" t="s">
        <v>365</v>
      </c>
      <c r="C39" s="230">
        <v>2750</v>
      </c>
      <c r="D39" s="3" t="s">
        <v>379</v>
      </c>
    </row>
    <row r="40" spans="1:4" x14ac:dyDescent="0.2">
      <c r="A40" s="5">
        <v>41014</v>
      </c>
      <c r="B40" s="3" t="s">
        <v>366</v>
      </c>
      <c r="C40" s="230">
        <v>35</v>
      </c>
    </row>
    <row r="41" spans="1:4" x14ac:dyDescent="0.2">
      <c r="A41" s="5">
        <v>41012</v>
      </c>
      <c r="B41" s="3" t="s">
        <v>367</v>
      </c>
      <c r="C41" s="230">
        <v>600.04999999999995</v>
      </c>
    </row>
    <row r="42" spans="1:4" x14ac:dyDescent="0.2">
      <c r="A42" s="5">
        <v>41006</v>
      </c>
      <c r="B42" s="3" t="s">
        <v>368</v>
      </c>
      <c r="C42" s="230">
        <v>83.99</v>
      </c>
    </row>
    <row r="43" spans="1:4" x14ac:dyDescent="0.2">
      <c r="A43" s="5">
        <v>41012</v>
      </c>
      <c r="B43" s="3" t="s">
        <v>369</v>
      </c>
      <c r="C43" s="230">
        <v>93.1</v>
      </c>
    </row>
    <row r="44" spans="1:4" x14ac:dyDescent="0.2">
      <c r="A44" s="5">
        <v>41045</v>
      </c>
      <c r="B44" s="3" t="s">
        <v>370</v>
      </c>
      <c r="C44" s="230">
        <v>1050</v>
      </c>
    </row>
    <row r="45" spans="1:4" x14ac:dyDescent="0.2">
      <c r="A45" s="5">
        <v>41010</v>
      </c>
      <c r="B45" s="3" t="s">
        <v>371</v>
      </c>
      <c r="C45" s="230">
        <v>20</v>
      </c>
    </row>
    <row r="46" spans="1:4" x14ac:dyDescent="0.2">
      <c r="A46" s="5">
        <v>41016</v>
      </c>
      <c r="B46" s="3" t="s">
        <v>372</v>
      </c>
      <c r="C46" s="230">
        <v>115</v>
      </c>
    </row>
    <row r="47" spans="1:4" x14ac:dyDescent="0.2">
      <c r="A47" s="5">
        <v>41045</v>
      </c>
      <c r="B47" s="3" t="s">
        <v>372</v>
      </c>
      <c r="C47" s="230">
        <v>115</v>
      </c>
    </row>
    <row r="48" spans="1:4" x14ac:dyDescent="0.2">
      <c r="A48" s="5">
        <v>41076</v>
      </c>
      <c r="B48" s="3" t="s">
        <v>372</v>
      </c>
      <c r="C48" s="230">
        <v>115</v>
      </c>
    </row>
    <row r="49" spans="1:4" x14ac:dyDescent="0.2">
      <c r="A49" s="5">
        <v>41042</v>
      </c>
      <c r="B49" s="3" t="s">
        <v>373</v>
      </c>
      <c r="C49" s="230">
        <v>8520</v>
      </c>
    </row>
    <row r="50" spans="1:4" x14ac:dyDescent="0.2">
      <c r="A50" s="5">
        <v>41086</v>
      </c>
      <c r="B50" s="3" t="s">
        <v>374</v>
      </c>
      <c r="C50" s="230">
        <v>1705</v>
      </c>
    </row>
    <row r="51" spans="1:4" x14ac:dyDescent="0.2">
      <c r="A51" s="5">
        <v>41032</v>
      </c>
      <c r="B51" s="3" t="s">
        <v>375</v>
      </c>
      <c r="C51" s="230">
        <v>108</v>
      </c>
    </row>
    <row r="52" spans="1:4" x14ac:dyDescent="0.2">
      <c r="A52" s="5">
        <v>41041</v>
      </c>
      <c r="B52" s="3" t="s">
        <v>376</v>
      </c>
      <c r="C52" s="230">
        <v>523.83000000000004</v>
      </c>
      <c r="D52" s="3" t="s">
        <v>379</v>
      </c>
    </row>
    <row r="53" spans="1:4" x14ac:dyDescent="0.2">
      <c r="A53" s="5">
        <v>41014</v>
      </c>
      <c r="B53" s="3" t="s">
        <v>377</v>
      </c>
      <c r="C53" s="230">
        <v>363.95</v>
      </c>
    </row>
    <row r="54" spans="1:4" x14ac:dyDescent="0.2">
      <c r="A54" s="5">
        <v>41065</v>
      </c>
      <c r="B54" s="3" t="s">
        <v>378</v>
      </c>
      <c r="C54" s="230">
        <v>220</v>
      </c>
    </row>
    <row r="55" spans="1:4" x14ac:dyDescent="0.2">
      <c r="A55" s="5">
        <v>41089</v>
      </c>
      <c r="B55" s="3" t="s">
        <v>393</v>
      </c>
      <c r="C55" s="230">
        <v>352.9</v>
      </c>
      <c r="D55" s="3" t="s">
        <v>379</v>
      </c>
    </row>
    <row r="56" spans="1:4" x14ac:dyDescent="0.2">
      <c r="A56" s="5">
        <v>41080</v>
      </c>
      <c r="B56" s="3" t="s">
        <v>394</v>
      </c>
      <c r="C56" s="230">
        <v>1659.6</v>
      </c>
      <c r="D56" s="3" t="s">
        <v>379</v>
      </c>
    </row>
    <row r="57" spans="1:4" ht="15" x14ac:dyDescent="0.25">
      <c r="A57" s="5">
        <v>41059</v>
      </c>
      <c r="B57" t="s">
        <v>380</v>
      </c>
      <c r="C57" s="230">
        <v>12.54</v>
      </c>
    </row>
    <row r="58" spans="1:4" ht="15" x14ac:dyDescent="0.25">
      <c r="A58" s="226">
        <v>41008</v>
      </c>
      <c r="B58" t="s">
        <v>381</v>
      </c>
      <c r="C58" s="231">
        <v>91.02</v>
      </c>
    </row>
    <row r="59" spans="1:4" ht="15" x14ac:dyDescent="0.25">
      <c r="A59" s="226">
        <v>41034</v>
      </c>
      <c r="B59" t="s">
        <v>382</v>
      </c>
      <c r="C59" s="231">
        <v>65.14</v>
      </c>
    </row>
    <row r="60" spans="1:4" ht="15" x14ac:dyDescent="0.25">
      <c r="A60" s="226">
        <v>41069</v>
      </c>
      <c r="B60" t="s">
        <v>383</v>
      </c>
      <c r="C60" s="231">
        <v>85.45</v>
      </c>
    </row>
    <row r="61" spans="1:4" ht="15" x14ac:dyDescent="0.25">
      <c r="A61" s="226">
        <v>41073</v>
      </c>
      <c r="B61" t="s">
        <v>384</v>
      </c>
      <c r="C61" s="231">
        <v>23.22</v>
      </c>
    </row>
    <row r="62" spans="1:4" ht="15" x14ac:dyDescent="0.25">
      <c r="A62" s="226">
        <v>41045</v>
      </c>
      <c r="B62" t="s">
        <v>385</v>
      </c>
      <c r="C62" s="231">
        <v>72.28</v>
      </c>
    </row>
    <row r="63" spans="1:4" ht="15" x14ac:dyDescent="0.25">
      <c r="A63" s="226">
        <v>41017</v>
      </c>
      <c r="B63" t="s">
        <v>386</v>
      </c>
      <c r="C63" s="231">
        <v>35.39</v>
      </c>
    </row>
    <row r="64" spans="1:4" ht="15" x14ac:dyDescent="0.25">
      <c r="A64" s="226">
        <v>41023</v>
      </c>
      <c r="B64" t="s">
        <v>387</v>
      </c>
      <c r="C64" s="231">
        <v>76.87</v>
      </c>
    </row>
    <row r="65" spans="1:3" ht="15" x14ac:dyDescent="0.25">
      <c r="A65" s="226">
        <v>41053</v>
      </c>
      <c r="B65" t="s">
        <v>388</v>
      </c>
      <c r="C65" s="231">
        <v>75.88</v>
      </c>
    </row>
    <row r="66" spans="1:3" ht="15" x14ac:dyDescent="0.25">
      <c r="A66" s="226">
        <v>41087</v>
      </c>
      <c r="B66" t="s">
        <v>389</v>
      </c>
      <c r="C66" s="231">
        <v>55.3</v>
      </c>
    </row>
    <row r="67" spans="1:3" ht="15" x14ac:dyDescent="0.25">
      <c r="A67" s="226">
        <v>41031</v>
      </c>
      <c r="B67" t="s">
        <v>390</v>
      </c>
      <c r="C67" s="231">
        <v>75.040000000000006</v>
      </c>
    </row>
    <row r="68" spans="1:3" ht="15" x14ac:dyDescent="0.25">
      <c r="A68" s="226">
        <v>41062</v>
      </c>
      <c r="B68" t="s">
        <v>391</v>
      </c>
      <c r="C68" s="231">
        <v>78.81</v>
      </c>
    </row>
    <row r="69" spans="1:3" ht="15" x14ac:dyDescent="0.25">
      <c r="A69" s="226">
        <v>41080</v>
      </c>
      <c r="B69" t="s">
        <v>392</v>
      </c>
      <c r="C69" s="231">
        <v>81.73</v>
      </c>
    </row>
    <row r="70" spans="1:3" ht="15" x14ac:dyDescent="0.25">
      <c r="C70" s="2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opLeftCell="A40" workbookViewId="0">
      <selection activeCell="O137" sqref="O137"/>
    </sheetView>
  </sheetViews>
  <sheetFormatPr defaultRowHeight="12.75" x14ac:dyDescent="0.2"/>
  <cols>
    <col min="1" max="1" width="13.140625" style="14" customWidth="1"/>
    <col min="2" max="2" width="10.85546875" style="191" customWidth="1"/>
    <col min="3" max="3" width="20.28515625" style="191" customWidth="1"/>
    <col min="4" max="4" width="9.28515625" style="191" customWidth="1"/>
    <col min="5" max="5" width="10" style="191" customWidth="1"/>
    <col min="6" max="6" width="9.85546875" style="191" customWidth="1"/>
    <col min="7" max="7" width="10.28515625" style="191" customWidth="1"/>
    <col min="8" max="8" width="9.42578125" style="191" customWidth="1"/>
    <col min="9" max="9" width="8" style="191" customWidth="1"/>
    <col min="10" max="10" width="8.85546875" style="191"/>
    <col min="11" max="11" width="10.140625" style="6" bestFit="1" customWidth="1"/>
    <col min="12" max="12" width="18.140625" style="191" customWidth="1"/>
    <col min="13" max="256" width="8.85546875" style="191"/>
    <col min="257" max="257" width="9" style="191" customWidth="1"/>
    <col min="258" max="258" width="10.85546875" style="191" customWidth="1"/>
    <col min="259" max="259" width="20.28515625" style="191" customWidth="1"/>
    <col min="260" max="260" width="6.28515625" style="191" customWidth="1"/>
    <col min="261" max="261" width="10" style="191" customWidth="1"/>
    <col min="262" max="262" width="9.85546875" style="191" customWidth="1"/>
    <col min="263" max="263" width="7.42578125" style="191" customWidth="1"/>
    <col min="264" max="264" width="9.42578125" style="191" customWidth="1"/>
    <col min="265" max="265" width="6.7109375" style="191" customWidth="1"/>
    <col min="266" max="512" width="8.85546875" style="191"/>
    <col min="513" max="513" width="9" style="191" customWidth="1"/>
    <col min="514" max="514" width="10.85546875" style="191" customWidth="1"/>
    <col min="515" max="515" width="20.28515625" style="191" customWidth="1"/>
    <col min="516" max="516" width="6.28515625" style="191" customWidth="1"/>
    <col min="517" max="517" width="10" style="191" customWidth="1"/>
    <col min="518" max="518" width="9.85546875" style="191" customWidth="1"/>
    <col min="519" max="519" width="7.42578125" style="191" customWidth="1"/>
    <col min="520" max="520" width="9.42578125" style="191" customWidth="1"/>
    <col min="521" max="521" width="6.7109375" style="191" customWidth="1"/>
    <col min="522" max="768" width="8.85546875" style="191"/>
    <col min="769" max="769" width="9" style="191" customWidth="1"/>
    <col min="770" max="770" width="10.85546875" style="191" customWidth="1"/>
    <col min="771" max="771" width="20.28515625" style="191" customWidth="1"/>
    <col min="772" max="772" width="6.28515625" style="191" customWidth="1"/>
    <col min="773" max="773" width="10" style="191" customWidth="1"/>
    <col min="774" max="774" width="9.85546875" style="191" customWidth="1"/>
    <col min="775" max="775" width="7.42578125" style="191" customWidth="1"/>
    <col min="776" max="776" width="9.42578125" style="191" customWidth="1"/>
    <col min="777" max="777" width="6.7109375" style="191" customWidth="1"/>
    <col min="778" max="1024" width="8.85546875" style="191"/>
    <col min="1025" max="1025" width="9" style="191" customWidth="1"/>
    <col min="1026" max="1026" width="10.85546875" style="191" customWidth="1"/>
    <col min="1027" max="1027" width="20.28515625" style="191" customWidth="1"/>
    <col min="1028" max="1028" width="6.28515625" style="191" customWidth="1"/>
    <col min="1029" max="1029" width="10" style="191" customWidth="1"/>
    <col min="1030" max="1030" width="9.85546875" style="191" customWidth="1"/>
    <col min="1031" max="1031" width="7.42578125" style="191" customWidth="1"/>
    <col min="1032" max="1032" width="9.42578125" style="191" customWidth="1"/>
    <col min="1033" max="1033" width="6.7109375" style="191" customWidth="1"/>
    <col min="1034" max="1280" width="8.85546875" style="191"/>
    <col min="1281" max="1281" width="9" style="191" customWidth="1"/>
    <col min="1282" max="1282" width="10.85546875" style="191" customWidth="1"/>
    <col min="1283" max="1283" width="20.28515625" style="191" customWidth="1"/>
    <col min="1284" max="1284" width="6.28515625" style="191" customWidth="1"/>
    <col min="1285" max="1285" width="10" style="191" customWidth="1"/>
    <col min="1286" max="1286" width="9.85546875" style="191" customWidth="1"/>
    <col min="1287" max="1287" width="7.42578125" style="191" customWidth="1"/>
    <col min="1288" max="1288" width="9.42578125" style="191" customWidth="1"/>
    <col min="1289" max="1289" width="6.7109375" style="191" customWidth="1"/>
    <col min="1290" max="1536" width="8.85546875" style="191"/>
    <col min="1537" max="1537" width="9" style="191" customWidth="1"/>
    <col min="1538" max="1538" width="10.85546875" style="191" customWidth="1"/>
    <col min="1539" max="1539" width="20.28515625" style="191" customWidth="1"/>
    <col min="1540" max="1540" width="6.28515625" style="191" customWidth="1"/>
    <col min="1541" max="1541" width="10" style="191" customWidth="1"/>
    <col min="1542" max="1542" width="9.85546875" style="191" customWidth="1"/>
    <col min="1543" max="1543" width="7.42578125" style="191" customWidth="1"/>
    <col min="1544" max="1544" width="9.42578125" style="191" customWidth="1"/>
    <col min="1545" max="1545" width="6.7109375" style="191" customWidth="1"/>
    <col min="1546" max="1792" width="8.85546875" style="191"/>
    <col min="1793" max="1793" width="9" style="191" customWidth="1"/>
    <col min="1794" max="1794" width="10.85546875" style="191" customWidth="1"/>
    <col min="1795" max="1795" width="20.28515625" style="191" customWidth="1"/>
    <col min="1796" max="1796" width="6.28515625" style="191" customWidth="1"/>
    <col min="1797" max="1797" width="10" style="191" customWidth="1"/>
    <col min="1798" max="1798" width="9.85546875" style="191" customWidth="1"/>
    <col min="1799" max="1799" width="7.42578125" style="191" customWidth="1"/>
    <col min="1800" max="1800" width="9.42578125" style="191" customWidth="1"/>
    <col min="1801" max="1801" width="6.7109375" style="191" customWidth="1"/>
    <col min="1802" max="2048" width="8.85546875" style="191"/>
    <col min="2049" max="2049" width="9" style="191" customWidth="1"/>
    <col min="2050" max="2050" width="10.85546875" style="191" customWidth="1"/>
    <col min="2051" max="2051" width="20.28515625" style="191" customWidth="1"/>
    <col min="2052" max="2052" width="6.28515625" style="191" customWidth="1"/>
    <col min="2053" max="2053" width="10" style="191" customWidth="1"/>
    <col min="2054" max="2054" width="9.85546875" style="191" customWidth="1"/>
    <col min="2055" max="2055" width="7.42578125" style="191" customWidth="1"/>
    <col min="2056" max="2056" width="9.42578125" style="191" customWidth="1"/>
    <col min="2057" max="2057" width="6.7109375" style="191" customWidth="1"/>
    <col min="2058" max="2304" width="8.85546875" style="191"/>
    <col min="2305" max="2305" width="9" style="191" customWidth="1"/>
    <col min="2306" max="2306" width="10.85546875" style="191" customWidth="1"/>
    <col min="2307" max="2307" width="20.28515625" style="191" customWidth="1"/>
    <col min="2308" max="2308" width="6.28515625" style="191" customWidth="1"/>
    <col min="2309" max="2309" width="10" style="191" customWidth="1"/>
    <col min="2310" max="2310" width="9.85546875" style="191" customWidth="1"/>
    <col min="2311" max="2311" width="7.42578125" style="191" customWidth="1"/>
    <col min="2312" max="2312" width="9.42578125" style="191" customWidth="1"/>
    <col min="2313" max="2313" width="6.7109375" style="191" customWidth="1"/>
    <col min="2314" max="2560" width="8.85546875" style="191"/>
    <col min="2561" max="2561" width="9" style="191" customWidth="1"/>
    <col min="2562" max="2562" width="10.85546875" style="191" customWidth="1"/>
    <col min="2563" max="2563" width="20.28515625" style="191" customWidth="1"/>
    <col min="2564" max="2564" width="6.28515625" style="191" customWidth="1"/>
    <col min="2565" max="2565" width="10" style="191" customWidth="1"/>
    <col min="2566" max="2566" width="9.85546875" style="191" customWidth="1"/>
    <col min="2567" max="2567" width="7.42578125" style="191" customWidth="1"/>
    <col min="2568" max="2568" width="9.42578125" style="191" customWidth="1"/>
    <col min="2569" max="2569" width="6.7109375" style="191" customWidth="1"/>
    <col min="2570" max="2816" width="8.85546875" style="191"/>
    <col min="2817" max="2817" width="9" style="191" customWidth="1"/>
    <col min="2818" max="2818" width="10.85546875" style="191" customWidth="1"/>
    <col min="2819" max="2819" width="20.28515625" style="191" customWidth="1"/>
    <col min="2820" max="2820" width="6.28515625" style="191" customWidth="1"/>
    <col min="2821" max="2821" width="10" style="191" customWidth="1"/>
    <col min="2822" max="2822" width="9.85546875" style="191" customWidth="1"/>
    <col min="2823" max="2823" width="7.42578125" style="191" customWidth="1"/>
    <col min="2824" max="2824" width="9.42578125" style="191" customWidth="1"/>
    <col min="2825" max="2825" width="6.7109375" style="191" customWidth="1"/>
    <col min="2826" max="3072" width="8.85546875" style="191"/>
    <col min="3073" max="3073" width="9" style="191" customWidth="1"/>
    <col min="3074" max="3074" width="10.85546875" style="191" customWidth="1"/>
    <col min="3075" max="3075" width="20.28515625" style="191" customWidth="1"/>
    <col min="3076" max="3076" width="6.28515625" style="191" customWidth="1"/>
    <col min="3077" max="3077" width="10" style="191" customWidth="1"/>
    <col min="3078" max="3078" width="9.85546875" style="191" customWidth="1"/>
    <col min="3079" max="3079" width="7.42578125" style="191" customWidth="1"/>
    <col min="3080" max="3080" width="9.42578125" style="191" customWidth="1"/>
    <col min="3081" max="3081" width="6.7109375" style="191" customWidth="1"/>
    <col min="3082" max="3328" width="8.85546875" style="191"/>
    <col min="3329" max="3329" width="9" style="191" customWidth="1"/>
    <col min="3330" max="3330" width="10.85546875" style="191" customWidth="1"/>
    <col min="3331" max="3331" width="20.28515625" style="191" customWidth="1"/>
    <col min="3332" max="3332" width="6.28515625" style="191" customWidth="1"/>
    <col min="3333" max="3333" width="10" style="191" customWidth="1"/>
    <col min="3334" max="3334" width="9.85546875" style="191" customWidth="1"/>
    <col min="3335" max="3335" width="7.42578125" style="191" customWidth="1"/>
    <col min="3336" max="3336" width="9.42578125" style="191" customWidth="1"/>
    <col min="3337" max="3337" width="6.7109375" style="191" customWidth="1"/>
    <col min="3338" max="3584" width="8.85546875" style="191"/>
    <col min="3585" max="3585" width="9" style="191" customWidth="1"/>
    <col min="3586" max="3586" width="10.85546875" style="191" customWidth="1"/>
    <col min="3587" max="3587" width="20.28515625" style="191" customWidth="1"/>
    <col min="3588" max="3588" width="6.28515625" style="191" customWidth="1"/>
    <col min="3589" max="3589" width="10" style="191" customWidth="1"/>
    <col min="3590" max="3590" width="9.85546875" style="191" customWidth="1"/>
    <col min="3591" max="3591" width="7.42578125" style="191" customWidth="1"/>
    <col min="3592" max="3592" width="9.42578125" style="191" customWidth="1"/>
    <col min="3593" max="3593" width="6.7109375" style="191" customWidth="1"/>
    <col min="3594" max="3840" width="8.85546875" style="191"/>
    <col min="3841" max="3841" width="9" style="191" customWidth="1"/>
    <col min="3842" max="3842" width="10.85546875" style="191" customWidth="1"/>
    <col min="3843" max="3843" width="20.28515625" style="191" customWidth="1"/>
    <col min="3844" max="3844" width="6.28515625" style="191" customWidth="1"/>
    <col min="3845" max="3845" width="10" style="191" customWidth="1"/>
    <col min="3846" max="3846" width="9.85546875" style="191" customWidth="1"/>
    <col min="3847" max="3847" width="7.42578125" style="191" customWidth="1"/>
    <col min="3848" max="3848" width="9.42578125" style="191" customWidth="1"/>
    <col min="3849" max="3849" width="6.7109375" style="191" customWidth="1"/>
    <col min="3850" max="4096" width="8.85546875" style="191"/>
    <col min="4097" max="4097" width="9" style="191" customWidth="1"/>
    <col min="4098" max="4098" width="10.85546875" style="191" customWidth="1"/>
    <col min="4099" max="4099" width="20.28515625" style="191" customWidth="1"/>
    <col min="4100" max="4100" width="6.28515625" style="191" customWidth="1"/>
    <col min="4101" max="4101" width="10" style="191" customWidth="1"/>
    <col min="4102" max="4102" width="9.85546875" style="191" customWidth="1"/>
    <col min="4103" max="4103" width="7.42578125" style="191" customWidth="1"/>
    <col min="4104" max="4104" width="9.42578125" style="191" customWidth="1"/>
    <col min="4105" max="4105" width="6.7109375" style="191" customWidth="1"/>
    <col min="4106" max="4352" width="8.85546875" style="191"/>
    <col min="4353" max="4353" width="9" style="191" customWidth="1"/>
    <col min="4354" max="4354" width="10.85546875" style="191" customWidth="1"/>
    <col min="4355" max="4355" width="20.28515625" style="191" customWidth="1"/>
    <col min="4356" max="4356" width="6.28515625" style="191" customWidth="1"/>
    <col min="4357" max="4357" width="10" style="191" customWidth="1"/>
    <col min="4358" max="4358" width="9.85546875" style="191" customWidth="1"/>
    <col min="4359" max="4359" width="7.42578125" style="191" customWidth="1"/>
    <col min="4360" max="4360" width="9.42578125" style="191" customWidth="1"/>
    <col min="4361" max="4361" width="6.7109375" style="191" customWidth="1"/>
    <col min="4362" max="4608" width="8.85546875" style="191"/>
    <col min="4609" max="4609" width="9" style="191" customWidth="1"/>
    <col min="4610" max="4610" width="10.85546875" style="191" customWidth="1"/>
    <col min="4611" max="4611" width="20.28515625" style="191" customWidth="1"/>
    <col min="4612" max="4612" width="6.28515625" style="191" customWidth="1"/>
    <col min="4613" max="4613" width="10" style="191" customWidth="1"/>
    <col min="4614" max="4614" width="9.85546875" style="191" customWidth="1"/>
    <col min="4615" max="4615" width="7.42578125" style="191" customWidth="1"/>
    <col min="4616" max="4616" width="9.42578125" style="191" customWidth="1"/>
    <col min="4617" max="4617" width="6.7109375" style="191" customWidth="1"/>
    <col min="4618" max="4864" width="8.85546875" style="191"/>
    <col min="4865" max="4865" width="9" style="191" customWidth="1"/>
    <col min="4866" max="4866" width="10.85546875" style="191" customWidth="1"/>
    <col min="4867" max="4867" width="20.28515625" style="191" customWidth="1"/>
    <col min="4868" max="4868" width="6.28515625" style="191" customWidth="1"/>
    <col min="4869" max="4869" width="10" style="191" customWidth="1"/>
    <col min="4870" max="4870" width="9.85546875" style="191" customWidth="1"/>
    <col min="4871" max="4871" width="7.42578125" style="191" customWidth="1"/>
    <col min="4872" max="4872" width="9.42578125" style="191" customWidth="1"/>
    <col min="4873" max="4873" width="6.7109375" style="191" customWidth="1"/>
    <col min="4874" max="5120" width="8.85546875" style="191"/>
    <col min="5121" max="5121" width="9" style="191" customWidth="1"/>
    <col min="5122" max="5122" width="10.85546875" style="191" customWidth="1"/>
    <col min="5123" max="5123" width="20.28515625" style="191" customWidth="1"/>
    <col min="5124" max="5124" width="6.28515625" style="191" customWidth="1"/>
    <col min="5125" max="5125" width="10" style="191" customWidth="1"/>
    <col min="5126" max="5126" width="9.85546875" style="191" customWidth="1"/>
    <col min="5127" max="5127" width="7.42578125" style="191" customWidth="1"/>
    <col min="5128" max="5128" width="9.42578125" style="191" customWidth="1"/>
    <col min="5129" max="5129" width="6.7109375" style="191" customWidth="1"/>
    <col min="5130" max="5376" width="8.85546875" style="191"/>
    <col min="5377" max="5377" width="9" style="191" customWidth="1"/>
    <col min="5378" max="5378" width="10.85546875" style="191" customWidth="1"/>
    <col min="5379" max="5379" width="20.28515625" style="191" customWidth="1"/>
    <col min="5380" max="5380" width="6.28515625" style="191" customWidth="1"/>
    <col min="5381" max="5381" width="10" style="191" customWidth="1"/>
    <col min="5382" max="5382" width="9.85546875" style="191" customWidth="1"/>
    <col min="5383" max="5383" width="7.42578125" style="191" customWidth="1"/>
    <col min="5384" max="5384" width="9.42578125" style="191" customWidth="1"/>
    <col min="5385" max="5385" width="6.7109375" style="191" customWidth="1"/>
    <col min="5386" max="5632" width="8.85546875" style="191"/>
    <col min="5633" max="5633" width="9" style="191" customWidth="1"/>
    <col min="5634" max="5634" width="10.85546875" style="191" customWidth="1"/>
    <col min="5635" max="5635" width="20.28515625" style="191" customWidth="1"/>
    <col min="5636" max="5636" width="6.28515625" style="191" customWidth="1"/>
    <col min="5637" max="5637" width="10" style="191" customWidth="1"/>
    <col min="5638" max="5638" width="9.85546875" style="191" customWidth="1"/>
    <col min="5639" max="5639" width="7.42578125" style="191" customWidth="1"/>
    <col min="5640" max="5640" width="9.42578125" style="191" customWidth="1"/>
    <col min="5641" max="5641" width="6.7109375" style="191" customWidth="1"/>
    <col min="5642" max="5888" width="8.85546875" style="191"/>
    <col min="5889" max="5889" width="9" style="191" customWidth="1"/>
    <col min="5890" max="5890" width="10.85546875" style="191" customWidth="1"/>
    <col min="5891" max="5891" width="20.28515625" style="191" customWidth="1"/>
    <col min="5892" max="5892" width="6.28515625" style="191" customWidth="1"/>
    <col min="5893" max="5893" width="10" style="191" customWidth="1"/>
    <col min="5894" max="5894" width="9.85546875" style="191" customWidth="1"/>
    <col min="5895" max="5895" width="7.42578125" style="191" customWidth="1"/>
    <col min="5896" max="5896" width="9.42578125" style="191" customWidth="1"/>
    <col min="5897" max="5897" width="6.7109375" style="191" customWidth="1"/>
    <col min="5898" max="6144" width="8.85546875" style="191"/>
    <col min="6145" max="6145" width="9" style="191" customWidth="1"/>
    <col min="6146" max="6146" width="10.85546875" style="191" customWidth="1"/>
    <col min="6147" max="6147" width="20.28515625" style="191" customWidth="1"/>
    <col min="6148" max="6148" width="6.28515625" style="191" customWidth="1"/>
    <col min="6149" max="6149" width="10" style="191" customWidth="1"/>
    <col min="6150" max="6150" width="9.85546875" style="191" customWidth="1"/>
    <col min="6151" max="6151" width="7.42578125" style="191" customWidth="1"/>
    <col min="6152" max="6152" width="9.42578125" style="191" customWidth="1"/>
    <col min="6153" max="6153" width="6.7109375" style="191" customWidth="1"/>
    <col min="6154" max="6400" width="8.85546875" style="191"/>
    <col min="6401" max="6401" width="9" style="191" customWidth="1"/>
    <col min="6402" max="6402" width="10.85546875" style="191" customWidth="1"/>
    <col min="6403" max="6403" width="20.28515625" style="191" customWidth="1"/>
    <col min="6404" max="6404" width="6.28515625" style="191" customWidth="1"/>
    <col min="6405" max="6405" width="10" style="191" customWidth="1"/>
    <col min="6406" max="6406" width="9.85546875" style="191" customWidth="1"/>
    <col min="6407" max="6407" width="7.42578125" style="191" customWidth="1"/>
    <col min="6408" max="6408" width="9.42578125" style="191" customWidth="1"/>
    <col min="6409" max="6409" width="6.7109375" style="191" customWidth="1"/>
    <col min="6410" max="6656" width="8.85546875" style="191"/>
    <col min="6657" max="6657" width="9" style="191" customWidth="1"/>
    <col min="6658" max="6658" width="10.85546875" style="191" customWidth="1"/>
    <col min="6659" max="6659" width="20.28515625" style="191" customWidth="1"/>
    <col min="6660" max="6660" width="6.28515625" style="191" customWidth="1"/>
    <col min="6661" max="6661" width="10" style="191" customWidth="1"/>
    <col min="6662" max="6662" width="9.85546875" style="191" customWidth="1"/>
    <col min="6663" max="6663" width="7.42578125" style="191" customWidth="1"/>
    <col min="6664" max="6664" width="9.42578125" style="191" customWidth="1"/>
    <col min="6665" max="6665" width="6.7109375" style="191" customWidth="1"/>
    <col min="6666" max="6912" width="8.85546875" style="191"/>
    <col min="6913" max="6913" width="9" style="191" customWidth="1"/>
    <col min="6914" max="6914" width="10.85546875" style="191" customWidth="1"/>
    <col min="6915" max="6915" width="20.28515625" style="191" customWidth="1"/>
    <col min="6916" max="6916" width="6.28515625" style="191" customWidth="1"/>
    <col min="6917" max="6917" width="10" style="191" customWidth="1"/>
    <col min="6918" max="6918" width="9.85546875" style="191" customWidth="1"/>
    <col min="6919" max="6919" width="7.42578125" style="191" customWidth="1"/>
    <col min="6920" max="6920" width="9.42578125" style="191" customWidth="1"/>
    <col min="6921" max="6921" width="6.7109375" style="191" customWidth="1"/>
    <col min="6922" max="7168" width="8.85546875" style="191"/>
    <col min="7169" max="7169" width="9" style="191" customWidth="1"/>
    <col min="7170" max="7170" width="10.85546875" style="191" customWidth="1"/>
    <col min="7171" max="7171" width="20.28515625" style="191" customWidth="1"/>
    <col min="7172" max="7172" width="6.28515625" style="191" customWidth="1"/>
    <col min="7173" max="7173" width="10" style="191" customWidth="1"/>
    <col min="7174" max="7174" width="9.85546875" style="191" customWidth="1"/>
    <col min="7175" max="7175" width="7.42578125" style="191" customWidth="1"/>
    <col min="7176" max="7176" width="9.42578125" style="191" customWidth="1"/>
    <col min="7177" max="7177" width="6.7109375" style="191" customWidth="1"/>
    <col min="7178" max="7424" width="8.85546875" style="191"/>
    <col min="7425" max="7425" width="9" style="191" customWidth="1"/>
    <col min="7426" max="7426" width="10.85546875" style="191" customWidth="1"/>
    <col min="7427" max="7427" width="20.28515625" style="191" customWidth="1"/>
    <col min="7428" max="7428" width="6.28515625" style="191" customWidth="1"/>
    <col min="7429" max="7429" width="10" style="191" customWidth="1"/>
    <col min="7430" max="7430" width="9.85546875" style="191" customWidth="1"/>
    <col min="7431" max="7431" width="7.42578125" style="191" customWidth="1"/>
    <col min="7432" max="7432" width="9.42578125" style="191" customWidth="1"/>
    <col min="7433" max="7433" width="6.7109375" style="191" customWidth="1"/>
    <col min="7434" max="7680" width="8.85546875" style="191"/>
    <col min="7681" max="7681" width="9" style="191" customWidth="1"/>
    <col min="7682" max="7682" width="10.85546875" style="191" customWidth="1"/>
    <col min="7683" max="7683" width="20.28515625" style="191" customWidth="1"/>
    <col min="7684" max="7684" width="6.28515625" style="191" customWidth="1"/>
    <col min="7685" max="7685" width="10" style="191" customWidth="1"/>
    <col min="7686" max="7686" width="9.85546875" style="191" customWidth="1"/>
    <col min="7687" max="7687" width="7.42578125" style="191" customWidth="1"/>
    <col min="7688" max="7688" width="9.42578125" style="191" customWidth="1"/>
    <col min="7689" max="7689" width="6.7109375" style="191" customWidth="1"/>
    <col min="7690" max="7936" width="8.85546875" style="191"/>
    <col min="7937" max="7937" width="9" style="191" customWidth="1"/>
    <col min="7938" max="7938" width="10.85546875" style="191" customWidth="1"/>
    <col min="7939" max="7939" width="20.28515625" style="191" customWidth="1"/>
    <col min="7940" max="7940" width="6.28515625" style="191" customWidth="1"/>
    <col min="7941" max="7941" width="10" style="191" customWidth="1"/>
    <col min="7942" max="7942" width="9.85546875" style="191" customWidth="1"/>
    <col min="7943" max="7943" width="7.42578125" style="191" customWidth="1"/>
    <col min="7944" max="7944" width="9.42578125" style="191" customWidth="1"/>
    <col min="7945" max="7945" width="6.7109375" style="191" customWidth="1"/>
    <col min="7946" max="8192" width="8.85546875" style="191"/>
    <col min="8193" max="8193" width="9" style="191" customWidth="1"/>
    <col min="8194" max="8194" width="10.85546875" style="191" customWidth="1"/>
    <col min="8195" max="8195" width="20.28515625" style="191" customWidth="1"/>
    <col min="8196" max="8196" width="6.28515625" style="191" customWidth="1"/>
    <col min="8197" max="8197" width="10" style="191" customWidth="1"/>
    <col min="8198" max="8198" width="9.85546875" style="191" customWidth="1"/>
    <col min="8199" max="8199" width="7.42578125" style="191" customWidth="1"/>
    <col min="8200" max="8200" width="9.42578125" style="191" customWidth="1"/>
    <col min="8201" max="8201" width="6.7109375" style="191" customWidth="1"/>
    <col min="8202" max="8448" width="8.85546875" style="191"/>
    <col min="8449" max="8449" width="9" style="191" customWidth="1"/>
    <col min="8450" max="8450" width="10.85546875" style="191" customWidth="1"/>
    <col min="8451" max="8451" width="20.28515625" style="191" customWidth="1"/>
    <col min="8452" max="8452" width="6.28515625" style="191" customWidth="1"/>
    <col min="8453" max="8453" width="10" style="191" customWidth="1"/>
    <col min="8454" max="8454" width="9.85546875" style="191" customWidth="1"/>
    <col min="8455" max="8455" width="7.42578125" style="191" customWidth="1"/>
    <col min="8456" max="8456" width="9.42578125" style="191" customWidth="1"/>
    <col min="8457" max="8457" width="6.7109375" style="191" customWidth="1"/>
    <col min="8458" max="8704" width="8.85546875" style="191"/>
    <col min="8705" max="8705" width="9" style="191" customWidth="1"/>
    <col min="8706" max="8706" width="10.85546875" style="191" customWidth="1"/>
    <col min="8707" max="8707" width="20.28515625" style="191" customWidth="1"/>
    <col min="8708" max="8708" width="6.28515625" style="191" customWidth="1"/>
    <col min="8709" max="8709" width="10" style="191" customWidth="1"/>
    <col min="8710" max="8710" width="9.85546875" style="191" customWidth="1"/>
    <col min="8711" max="8711" width="7.42578125" style="191" customWidth="1"/>
    <col min="8712" max="8712" width="9.42578125" style="191" customWidth="1"/>
    <col min="8713" max="8713" width="6.7109375" style="191" customWidth="1"/>
    <col min="8714" max="8960" width="8.85546875" style="191"/>
    <col min="8961" max="8961" width="9" style="191" customWidth="1"/>
    <col min="8962" max="8962" width="10.85546875" style="191" customWidth="1"/>
    <col min="8963" max="8963" width="20.28515625" style="191" customWidth="1"/>
    <col min="8964" max="8964" width="6.28515625" style="191" customWidth="1"/>
    <col min="8965" max="8965" width="10" style="191" customWidth="1"/>
    <col min="8966" max="8966" width="9.85546875" style="191" customWidth="1"/>
    <col min="8967" max="8967" width="7.42578125" style="191" customWidth="1"/>
    <col min="8968" max="8968" width="9.42578125" style="191" customWidth="1"/>
    <col min="8969" max="8969" width="6.7109375" style="191" customWidth="1"/>
    <col min="8970" max="9216" width="8.85546875" style="191"/>
    <col min="9217" max="9217" width="9" style="191" customWidth="1"/>
    <col min="9218" max="9218" width="10.85546875" style="191" customWidth="1"/>
    <col min="9219" max="9219" width="20.28515625" style="191" customWidth="1"/>
    <col min="9220" max="9220" width="6.28515625" style="191" customWidth="1"/>
    <col min="9221" max="9221" width="10" style="191" customWidth="1"/>
    <col min="9222" max="9222" width="9.85546875" style="191" customWidth="1"/>
    <col min="9223" max="9223" width="7.42578125" style="191" customWidth="1"/>
    <col min="9224" max="9224" width="9.42578125" style="191" customWidth="1"/>
    <col min="9225" max="9225" width="6.7109375" style="191" customWidth="1"/>
    <col min="9226" max="9472" width="8.85546875" style="191"/>
    <col min="9473" max="9473" width="9" style="191" customWidth="1"/>
    <col min="9474" max="9474" width="10.85546875" style="191" customWidth="1"/>
    <col min="9475" max="9475" width="20.28515625" style="191" customWidth="1"/>
    <col min="9476" max="9476" width="6.28515625" style="191" customWidth="1"/>
    <col min="9477" max="9477" width="10" style="191" customWidth="1"/>
    <col min="9478" max="9478" width="9.85546875" style="191" customWidth="1"/>
    <col min="9479" max="9479" width="7.42578125" style="191" customWidth="1"/>
    <col min="9480" max="9480" width="9.42578125" style="191" customWidth="1"/>
    <col min="9481" max="9481" width="6.7109375" style="191" customWidth="1"/>
    <col min="9482" max="9728" width="8.85546875" style="191"/>
    <col min="9729" max="9729" width="9" style="191" customWidth="1"/>
    <col min="9730" max="9730" width="10.85546875" style="191" customWidth="1"/>
    <col min="9731" max="9731" width="20.28515625" style="191" customWidth="1"/>
    <col min="9732" max="9732" width="6.28515625" style="191" customWidth="1"/>
    <col min="9733" max="9733" width="10" style="191" customWidth="1"/>
    <col min="9734" max="9734" width="9.85546875" style="191" customWidth="1"/>
    <col min="9735" max="9735" width="7.42578125" style="191" customWidth="1"/>
    <col min="9736" max="9736" width="9.42578125" style="191" customWidth="1"/>
    <col min="9737" max="9737" width="6.7109375" style="191" customWidth="1"/>
    <col min="9738" max="9984" width="8.85546875" style="191"/>
    <col min="9985" max="9985" width="9" style="191" customWidth="1"/>
    <col min="9986" max="9986" width="10.85546875" style="191" customWidth="1"/>
    <col min="9987" max="9987" width="20.28515625" style="191" customWidth="1"/>
    <col min="9988" max="9988" width="6.28515625" style="191" customWidth="1"/>
    <col min="9989" max="9989" width="10" style="191" customWidth="1"/>
    <col min="9990" max="9990" width="9.85546875" style="191" customWidth="1"/>
    <col min="9991" max="9991" width="7.42578125" style="191" customWidth="1"/>
    <col min="9992" max="9992" width="9.42578125" style="191" customWidth="1"/>
    <col min="9993" max="9993" width="6.7109375" style="191" customWidth="1"/>
    <col min="9994" max="10240" width="8.85546875" style="191"/>
    <col min="10241" max="10241" width="9" style="191" customWidth="1"/>
    <col min="10242" max="10242" width="10.85546875" style="191" customWidth="1"/>
    <col min="10243" max="10243" width="20.28515625" style="191" customWidth="1"/>
    <col min="10244" max="10244" width="6.28515625" style="191" customWidth="1"/>
    <col min="10245" max="10245" width="10" style="191" customWidth="1"/>
    <col min="10246" max="10246" width="9.85546875" style="191" customWidth="1"/>
    <col min="10247" max="10247" width="7.42578125" style="191" customWidth="1"/>
    <col min="10248" max="10248" width="9.42578125" style="191" customWidth="1"/>
    <col min="10249" max="10249" width="6.7109375" style="191" customWidth="1"/>
    <col min="10250" max="10496" width="8.85546875" style="191"/>
    <col min="10497" max="10497" width="9" style="191" customWidth="1"/>
    <col min="10498" max="10498" width="10.85546875" style="191" customWidth="1"/>
    <col min="10499" max="10499" width="20.28515625" style="191" customWidth="1"/>
    <col min="10500" max="10500" width="6.28515625" style="191" customWidth="1"/>
    <col min="10501" max="10501" width="10" style="191" customWidth="1"/>
    <col min="10502" max="10502" width="9.85546875" style="191" customWidth="1"/>
    <col min="10503" max="10503" width="7.42578125" style="191" customWidth="1"/>
    <col min="10504" max="10504" width="9.42578125" style="191" customWidth="1"/>
    <col min="10505" max="10505" width="6.7109375" style="191" customWidth="1"/>
    <col min="10506" max="10752" width="8.85546875" style="191"/>
    <col min="10753" max="10753" width="9" style="191" customWidth="1"/>
    <col min="10754" max="10754" width="10.85546875" style="191" customWidth="1"/>
    <col min="10755" max="10755" width="20.28515625" style="191" customWidth="1"/>
    <col min="10756" max="10756" width="6.28515625" style="191" customWidth="1"/>
    <col min="10757" max="10757" width="10" style="191" customWidth="1"/>
    <col min="10758" max="10758" width="9.85546875" style="191" customWidth="1"/>
    <col min="10759" max="10759" width="7.42578125" style="191" customWidth="1"/>
    <col min="10760" max="10760" width="9.42578125" style="191" customWidth="1"/>
    <col min="10761" max="10761" width="6.7109375" style="191" customWidth="1"/>
    <col min="10762" max="11008" width="8.85546875" style="191"/>
    <col min="11009" max="11009" width="9" style="191" customWidth="1"/>
    <col min="11010" max="11010" width="10.85546875" style="191" customWidth="1"/>
    <col min="11011" max="11011" width="20.28515625" style="191" customWidth="1"/>
    <col min="11012" max="11012" width="6.28515625" style="191" customWidth="1"/>
    <col min="11013" max="11013" width="10" style="191" customWidth="1"/>
    <col min="11014" max="11014" width="9.85546875" style="191" customWidth="1"/>
    <col min="11015" max="11015" width="7.42578125" style="191" customWidth="1"/>
    <col min="11016" max="11016" width="9.42578125" style="191" customWidth="1"/>
    <col min="11017" max="11017" width="6.7109375" style="191" customWidth="1"/>
    <col min="11018" max="11264" width="8.85546875" style="191"/>
    <col min="11265" max="11265" width="9" style="191" customWidth="1"/>
    <col min="11266" max="11266" width="10.85546875" style="191" customWidth="1"/>
    <col min="11267" max="11267" width="20.28515625" style="191" customWidth="1"/>
    <col min="11268" max="11268" width="6.28515625" style="191" customWidth="1"/>
    <col min="11269" max="11269" width="10" style="191" customWidth="1"/>
    <col min="11270" max="11270" width="9.85546875" style="191" customWidth="1"/>
    <col min="11271" max="11271" width="7.42578125" style="191" customWidth="1"/>
    <col min="11272" max="11272" width="9.42578125" style="191" customWidth="1"/>
    <col min="11273" max="11273" width="6.7109375" style="191" customWidth="1"/>
    <col min="11274" max="11520" width="8.85546875" style="191"/>
    <col min="11521" max="11521" width="9" style="191" customWidth="1"/>
    <col min="11522" max="11522" width="10.85546875" style="191" customWidth="1"/>
    <col min="11523" max="11523" width="20.28515625" style="191" customWidth="1"/>
    <col min="11524" max="11524" width="6.28515625" style="191" customWidth="1"/>
    <col min="11525" max="11525" width="10" style="191" customWidth="1"/>
    <col min="11526" max="11526" width="9.85546875" style="191" customWidth="1"/>
    <col min="11527" max="11527" width="7.42578125" style="191" customWidth="1"/>
    <col min="11528" max="11528" width="9.42578125" style="191" customWidth="1"/>
    <col min="11529" max="11529" width="6.7109375" style="191" customWidth="1"/>
    <col min="11530" max="11776" width="8.85546875" style="191"/>
    <col min="11777" max="11777" width="9" style="191" customWidth="1"/>
    <col min="11778" max="11778" width="10.85546875" style="191" customWidth="1"/>
    <col min="11779" max="11779" width="20.28515625" style="191" customWidth="1"/>
    <col min="11780" max="11780" width="6.28515625" style="191" customWidth="1"/>
    <col min="11781" max="11781" width="10" style="191" customWidth="1"/>
    <col min="11782" max="11782" width="9.85546875" style="191" customWidth="1"/>
    <col min="11783" max="11783" width="7.42578125" style="191" customWidth="1"/>
    <col min="11784" max="11784" width="9.42578125" style="191" customWidth="1"/>
    <col min="11785" max="11785" width="6.7109375" style="191" customWidth="1"/>
    <col min="11786" max="12032" width="8.85546875" style="191"/>
    <col min="12033" max="12033" width="9" style="191" customWidth="1"/>
    <col min="12034" max="12034" width="10.85546875" style="191" customWidth="1"/>
    <col min="12035" max="12035" width="20.28515625" style="191" customWidth="1"/>
    <col min="12036" max="12036" width="6.28515625" style="191" customWidth="1"/>
    <col min="12037" max="12037" width="10" style="191" customWidth="1"/>
    <col min="12038" max="12038" width="9.85546875" style="191" customWidth="1"/>
    <col min="12039" max="12039" width="7.42578125" style="191" customWidth="1"/>
    <col min="12040" max="12040" width="9.42578125" style="191" customWidth="1"/>
    <col min="12041" max="12041" width="6.7109375" style="191" customWidth="1"/>
    <col min="12042" max="12288" width="8.85546875" style="191"/>
    <col min="12289" max="12289" width="9" style="191" customWidth="1"/>
    <col min="12290" max="12290" width="10.85546875" style="191" customWidth="1"/>
    <col min="12291" max="12291" width="20.28515625" style="191" customWidth="1"/>
    <col min="12292" max="12292" width="6.28515625" style="191" customWidth="1"/>
    <col min="12293" max="12293" width="10" style="191" customWidth="1"/>
    <col min="12294" max="12294" width="9.85546875" style="191" customWidth="1"/>
    <col min="12295" max="12295" width="7.42578125" style="191" customWidth="1"/>
    <col min="12296" max="12296" width="9.42578125" style="191" customWidth="1"/>
    <col min="12297" max="12297" width="6.7109375" style="191" customWidth="1"/>
    <col min="12298" max="12544" width="8.85546875" style="191"/>
    <col min="12545" max="12545" width="9" style="191" customWidth="1"/>
    <col min="12546" max="12546" width="10.85546875" style="191" customWidth="1"/>
    <col min="12547" max="12547" width="20.28515625" style="191" customWidth="1"/>
    <col min="12548" max="12548" width="6.28515625" style="191" customWidth="1"/>
    <col min="12549" max="12549" width="10" style="191" customWidth="1"/>
    <col min="12550" max="12550" width="9.85546875" style="191" customWidth="1"/>
    <col min="12551" max="12551" width="7.42578125" style="191" customWidth="1"/>
    <col min="12552" max="12552" width="9.42578125" style="191" customWidth="1"/>
    <col min="12553" max="12553" width="6.7109375" style="191" customWidth="1"/>
    <col min="12554" max="12800" width="8.85546875" style="191"/>
    <col min="12801" max="12801" width="9" style="191" customWidth="1"/>
    <col min="12802" max="12802" width="10.85546875" style="191" customWidth="1"/>
    <col min="12803" max="12803" width="20.28515625" style="191" customWidth="1"/>
    <col min="12804" max="12804" width="6.28515625" style="191" customWidth="1"/>
    <col min="12805" max="12805" width="10" style="191" customWidth="1"/>
    <col min="12806" max="12806" width="9.85546875" style="191" customWidth="1"/>
    <col min="12807" max="12807" width="7.42578125" style="191" customWidth="1"/>
    <col min="12808" max="12808" width="9.42578125" style="191" customWidth="1"/>
    <col min="12809" max="12809" width="6.7109375" style="191" customWidth="1"/>
    <col min="12810" max="13056" width="8.85546875" style="191"/>
    <col min="13057" max="13057" width="9" style="191" customWidth="1"/>
    <col min="13058" max="13058" width="10.85546875" style="191" customWidth="1"/>
    <col min="13059" max="13059" width="20.28515625" style="191" customWidth="1"/>
    <col min="13060" max="13060" width="6.28515625" style="191" customWidth="1"/>
    <col min="13061" max="13061" width="10" style="191" customWidth="1"/>
    <col min="13062" max="13062" width="9.85546875" style="191" customWidth="1"/>
    <col min="13063" max="13063" width="7.42578125" style="191" customWidth="1"/>
    <col min="13064" max="13064" width="9.42578125" style="191" customWidth="1"/>
    <col min="13065" max="13065" width="6.7109375" style="191" customWidth="1"/>
    <col min="13066" max="13312" width="8.85546875" style="191"/>
    <col min="13313" max="13313" width="9" style="191" customWidth="1"/>
    <col min="13314" max="13314" width="10.85546875" style="191" customWidth="1"/>
    <col min="13315" max="13315" width="20.28515625" style="191" customWidth="1"/>
    <col min="13316" max="13316" width="6.28515625" style="191" customWidth="1"/>
    <col min="13317" max="13317" width="10" style="191" customWidth="1"/>
    <col min="13318" max="13318" width="9.85546875" style="191" customWidth="1"/>
    <col min="13319" max="13319" width="7.42578125" style="191" customWidth="1"/>
    <col min="13320" max="13320" width="9.42578125" style="191" customWidth="1"/>
    <col min="13321" max="13321" width="6.7109375" style="191" customWidth="1"/>
    <col min="13322" max="13568" width="8.85546875" style="191"/>
    <col min="13569" max="13569" width="9" style="191" customWidth="1"/>
    <col min="13570" max="13570" width="10.85546875" style="191" customWidth="1"/>
    <col min="13571" max="13571" width="20.28515625" style="191" customWidth="1"/>
    <col min="13572" max="13572" width="6.28515625" style="191" customWidth="1"/>
    <col min="13573" max="13573" width="10" style="191" customWidth="1"/>
    <col min="13574" max="13574" width="9.85546875" style="191" customWidth="1"/>
    <col min="13575" max="13575" width="7.42578125" style="191" customWidth="1"/>
    <col min="13576" max="13576" width="9.42578125" style="191" customWidth="1"/>
    <col min="13577" max="13577" width="6.7109375" style="191" customWidth="1"/>
    <col min="13578" max="13824" width="8.85546875" style="191"/>
    <col min="13825" max="13825" width="9" style="191" customWidth="1"/>
    <col min="13826" max="13826" width="10.85546875" style="191" customWidth="1"/>
    <col min="13827" max="13827" width="20.28515625" style="191" customWidth="1"/>
    <col min="13828" max="13828" width="6.28515625" style="191" customWidth="1"/>
    <col min="13829" max="13829" width="10" style="191" customWidth="1"/>
    <col min="13830" max="13830" width="9.85546875" style="191" customWidth="1"/>
    <col min="13831" max="13831" width="7.42578125" style="191" customWidth="1"/>
    <col min="13832" max="13832" width="9.42578125" style="191" customWidth="1"/>
    <col min="13833" max="13833" width="6.7109375" style="191" customWidth="1"/>
    <col min="13834" max="14080" width="8.85546875" style="191"/>
    <col min="14081" max="14081" width="9" style="191" customWidth="1"/>
    <col min="14082" max="14082" width="10.85546875" style="191" customWidth="1"/>
    <col min="14083" max="14083" width="20.28515625" style="191" customWidth="1"/>
    <col min="14084" max="14084" width="6.28515625" style="191" customWidth="1"/>
    <col min="14085" max="14085" width="10" style="191" customWidth="1"/>
    <col min="14086" max="14086" width="9.85546875" style="191" customWidth="1"/>
    <col min="14087" max="14087" width="7.42578125" style="191" customWidth="1"/>
    <col min="14088" max="14088" width="9.42578125" style="191" customWidth="1"/>
    <col min="14089" max="14089" width="6.7109375" style="191" customWidth="1"/>
    <col min="14090" max="14336" width="8.85546875" style="191"/>
    <col min="14337" max="14337" width="9" style="191" customWidth="1"/>
    <col min="14338" max="14338" width="10.85546875" style="191" customWidth="1"/>
    <col min="14339" max="14339" width="20.28515625" style="191" customWidth="1"/>
    <col min="14340" max="14340" width="6.28515625" style="191" customWidth="1"/>
    <col min="14341" max="14341" width="10" style="191" customWidth="1"/>
    <col min="14342" max="14342" width="9.85546875" style="191" customWidth="1"/>
    <col min="14343" max="14343" width="7.42578125" style="191" customWidth="1"/>
    <col min="14344" max="14344" width="9.42578125" style="191" customWidth="1"/>
    <col min="14345" max="14345" width="6.7109375" style="191" customWidth="1"/>
    <col min="14346" max="14592" width="8.85546875" style="191"/>
    <col min="14593" max="14593" width="9" style="191" customWidth="1"/>
    <col min="14594" max="14594" width="10.85546875" style="191" customWidth="1"/>
    <col min="14595" max="14595" width="20.28515625" style="191" customWidth="1"/>
    <col min="14596" max="14596" width="6.28515625" style="191" customWidth="1"/>
    <col min="14597" max="14597" width="10" style="191" customWidth="1"/>
    <col min="14598" max="14598" width="9.85546875" style="191" customWidth="1"/>
    <col min="14599" max="14599" width="7.42578125" style="191" customWidth="1"/>
    <col min="14600" max="14600" width="9.42578125" style="191" customWidth="1"/>
    <col min="14601" max="14601" width="6.7109375" style="191" customWidth="1"/>
    <col min="14602" max="14848" width="8.85546875" style="191"/>
    <col min="14849" max="14849" width="9" style="191" customWidth="1"/>
    <col min="14850" max="14850" width="10.85546875" style="191" customWidth="1"/>
    <col min="14851" max="14851" width="20.28515625" style="191" customWidth="1"/>
    <col min="14852" max="14852" width="6.28515625" style="191" customWidth="1"/>
    <col min="14853" max="14853" width="10" style="191" customWidth="1"/>
    <col min="14854" max="14854" width="9.85546875" style="191" customWidth="1"/>
    <col min="14855" max="14855" width="7.42578125" style="191" customWidth="1"/>
    <col min="14856" max="14856" width="9.42578125" style="191" customWidth="1"/>
    <col min="14857" max="14857" width="6.7109375" style="191" customWidth="1"/>
    <col min="14858" max="15104" width="8.85546875" style="191"/>
    <col min="15105" max="15105" width="9" style="191" customWidth="1"/>
    <col min="15106" max="15106" width="10.85546875" style="191" customWidth="1"/>
    <col min="15107" max="15107" width="20.28515625" style="191" customWidth="1"/>
    <col min="15108" max="15108" width="6.28515625" style="191" customWidth="1"/>
    <col min="15109" max="15109" width="10" style="191" customWidth="1"/>
    <col min="15110" max="15110" width="9.85546875" style="191" customWidth="1"/>
    <col min="15111" max="15111" width="7.42578125" style="191" customWidth="1"/>
    <col min="15112" max="15112" width="9.42578125" style="191" customWidth="1"/>
    <col min="15113" max="15113" width="6.7109375" style="191" customWidth="1"/>
    <col min="15114" max="15360" width="8.85546875" style="191"/>
    <col min="15361" max="15361" width="9" style="191" customWidth="1"/>
    <col min="15362" max="15362" width="10.85546875" style="191" customWidth="1"/>
    <col min="15363" max="15363" width="20.28515625" style="191" customWidth="1"/>
    <col min="15364" max="15364" width="6.28515625" style="191" customWidth="1"/>
    <col min="15365" max="15365" width="10" style="191" customWidth="1"/>
    <col min="15366" max="15366" width="9.85546875" style="191" customWidth="1"/>
    <col min="15367" max="15367" width="7.42578125" style="191" customWidth="1"/>
    <col min="15368" max="15368" width="9.42578125" style="191" customWidth="1"/>
    <col min="15369" max="15369" width="6.7109375" style="191" customWidth="1"/>
    <col min="15370" max="15616" width="8.85546875" style="191"/>
    <col min="15617" max="15617" width="9" style="191" customWidth="1"/>
    <col min="15618" max="15618" width="10.85546875" style="191" customWidth="1"/>
    <col min="15619" max="15619" width="20.28515625" style="191" customWidth="1"/>
    <col min="15620" max="15620" width="6.28515625" style="191" customWidth="1"/>
    <col min="15621" max="15621" width="10" style="191" customWidth="1"/>
    <col min="15622" max="15622" width="9.85546875" style="191" customWidth="1"/>
    <col min="15623" max="15623" width="7.42578125" style="191" customWidth="1"/>
    <col min="15624" max="15624" width="9.42578125" style="191" customWidth="1"/>
    <col min="15625" max="15625" width="6.7109375" style="191" customWidth="1"/>
    <col min="15626" max="15872" width="8.85546875" style="191"/>
    <col min="15873" max="15873" width="9" style="191" customWidth="1"/>
    <col min="15874" max="15874" width="10.85546875" style="191" customWidth="1"/>
    <col min="15875" max="15875" width="20.28515625" style="191" customWidth="1"/>
    <col min="15876" max="15876" width="6.28515625" style="191" customWidth="1"/>
    <col min="15877" max="15877" width="10" style="191" customWidth="1"/>
    <col min="15878" max="15878" width="9.85546875" style="191" customWidth="1"/>
    <col min="15879" max="15879" width="7.42578125" style="191" customWidth="1"/>
    <col min="15880" max="15880" width="9.42578125" style="191" customWidth="1"/>
    <col min="15881" max="15881" width="6.7109375" style="191" customWidth="1"/>
    <col min="15882" max="16128" width="8.85546875" style="191"/>
    <col min="16129" max="16129" width="9" style="191" customWidth="1"/>
    <col min="16130" max="16130" width="10.85546875" style="191" customWidth="1"/>
    <col min="16131" max="16131" width="20.28515625" style="191" customWidth="1"/>
    <col min="16132" max="16132" width="6.28515625" style="191" customWidth="1"/>
    <col min="16133" max="16133" width="10" style="191" customWidth="1"/>
    <col min="16134" max="16134" width="9.85546875" style="191" customWidth="1"/>
    <col min="16135" max="16135" width="7.42578125" style="191" customWidth="1"/>
    <col min="16136" max="16136" width="9.42578125" style="191" customWidth="1"/>
    <col min="16137" max="16137" width="6.7109375" style="191" customWidth="1"/>
    <col min="16138" max="16384" width="8.85546875" style="191"/>
  </cols>
  <sheetData>
    <row r="1" spans="1:11" ht="13.15" x14ac:dyDescent="0.25">
      <c r="A1" s="236"/>
      <c r="B1" s="236"/>
      <c r="C1" s="236"/>
      <c r="D1" s="236"/>
      <c r="E1" s="236"/>
      <c r="F1" s="236"/>
      <c r="G1" s="236"/>
      <c r="H1" s="236"/>
      <c r="I1" s="236"/>
    </row>
    <row r="2" spans="1:11" ht="21" customHeight="1" x14ac:dyDescent="0.4">
      <c r="A2" s="261" t="s">
        <v>82</v>
      </c>
      <c r="B2" s="262"/>
      <c r="C2" s="262"/>
      <c r="D2" s="262"/>
      <c r="E2" s="262"/>
      <c r="F2" s="262"/>
      <c r="G2" s="262"/>
      <c r="H2" s="262"/>
      <c r="I2" s="262"/>
    </row>
    <row r="3" spans="1:11" ht="13.15" x14ac:dyDescent="0.25">
      <c r="A3" s="236"/>
      <c r="B3" s="236"/>
      <c r="C3" s="236"/>
      <c r="D3" s="236"/>
      <c r="E3" s="236"/>
      <c r="F3" s="236"/>
      <c r="G3" s="236"/>
      <c r="H3" s="236"/>
      <c r="I3" s="236"/>
    </row>
    <row r="4" spans="1:11" ht="13.15" customHeight="1" x14ac:dyDescent="0.25">
      <c r="A4" s="34" t="s">
        <v>81</v>
      </c>
      <c r="B4" s="263" t="s">
        <v>80</v>
      </c>
      <c r="C4" s="263"/>
      <c r="D4" s="39"/>
      <c r="E4" s="39"/>
      <c r="F4" s="39"/>
      <c r="G4" s="39"/>
      <c r="H4" s="39"/>
      <c r="I4" s="39"/>
    </row>
    <row r="5" spans="1:11" ht="13.15" x14ac:dyDescent="0.25">
      <c r="A5" s="236"/>
      <c r="B5" s="236"/>
      <c r="C5" s="236"/>
      <c r="D5" s="236"/>
      <c r="E5" s="236"/>
      <c r="F5" s="236"/>
      <c r="G5" s="236"/>
      <c r="H5" s="236"/>
      <c r="I5" s="236"/>
    </row>
    <row r="6" spans="1:11" ht="13.15" customHeight="1" x14ac:dyDescent="0.25">
      <c r="A6" s="260" t="s">
        <v>79</v>
      </c>
      <c r="B6" s="260"/>
      <c r="C6" s="38" t="s">
        <v>72</v>
      </c>
      <c r="D6" s="264"/>
      <c r="E6" s="264"/>
      <c r="F6" s="264"/>
      <c r="G6" s="264"/>
      <c r="H6" s="264"/>
      <c r="I6" s="264"/>
    </row>
    <row r="7" spans="1:11" ht="13.15" x14ac:dyDescent="0.25">
      <c r="A7" s="236"/>
      <c r="B7" s="236"/>
      <c r="C7" s="236"/>
      <c r="D7" s="236"/>
      <c r="E7" s="236"/>
      <c r="F7" s="236"/>
      <c r="G7" s="236"/>
      <c r="H7" s="236"/>
      <c r="I7" s="236"/>
    </row>
    <row r="8" spans="1:11" ht="13.15" x14ac:dyDescent="0.25">
      <c r="A8" s="260" t="s">
        <v>78</v>
      </c>
      <c r="B8" s="260"/>
      <c r="C8" s="37" t="s">
        <v>77</v>
      </c>
      <c r="D8" s="195" t="s">
        <v>76</v>
      </c>
      <c r="E8" s="36" t="s">
        <v>75</v>
      </c>
      <c r="F8" s="195"/>
      <c r="G8" s="195"/>
      <c r="H8" s="195"/>
      <c r="I8" s="195"/>
    </row>
    <row r="9" spans="1:11" ht="13.15" x14ac:dyDescent="0.25">
      <c r="A9" s="236"/>
      <c r="B9" s="236"/>
      <c r="C9" s="236"/>
      <c r="D9" s="236"/>
      <c r="E9" s="236"/>
      <c r="F9" s="236"/>
      <c r="G9" s="236"/>
      <c r="H9" s="236"/>
      <c r="I9" s="236"/>
    </row>
    <row r="10" spans="1:11" ht="39.6" x14ac:dyDescent="0.25">
      <c r="A10" s="260" t="s">
        <v>74</v>
      </c>
      <c r="B10" s="260"/>
      <c r="C10" s="37">
        <v>2354</v>
      </c>
      <c r="D10" s="195" t="s">
        <v>73</v>
      </c>
      <c r="E10" s="195"/>
      <c r="F10" s="195"/>
      <c r="G10" s="36" t="s">
        <v>72</v>
      </c>
      <c r="H10" s="195"/>
      <c r="I10" s="195"/>
      <c r="K10" s="35" t="s">
        <v>71</v>
      </c>
    </row>
    <row r="11" spans="1:11" ht="13.15" x14ac:dyDescent="0.25">
      <c r="A11" s="236"/>
      <c r="B11" s="236"/>
      <c r="C11" s="236"/>
      <c r="D11" s="236"/>
      <c r="E11" s="236"/>
      <c r="F11" s="236"/>
      <c r="G11" s="236"/>
      <c r="H11" s="236"/>
      <c r="I11" s="236"/>
      <c r="K11" s="6">
        <f>SUM(K17:K139)</f>
        <v>824.58999999999992</v>
      </c>
    </row>
    <row r="12" spans="1:11" ht="13.15" x14ac:dyDescent="0.25">
      <c r="A12" s="34"/>
      <c r="B12" s="33"/>
      <c r="C12" s="33"/>
      <c r="D12" s="260"/>
      <c r="E12" s="260"/>
      <c r="F12" s="260"/>
      <c r="G12" s="260"/>
      <c r="H12" s="260"/>
      <c r="I12" s="260"/>
    </row>
    <row r="13" spans="1:11" ht="13.15" x14ac:dyDescent="0.25">
      <c r="A13" s="236"/>
      <c r="B13" s="236"/>
      <c r="C13" s="236"/>
      <c r="D13" s="236"/>
      <c r="E13" s="236"/>
      <c r="F13" s="236"/>
      <c r="G13" s="236"/>
      <c r="H13" s="236"/>
      <c r="I13" s="236"/>
    </row>
    <row r="14" spans="1:11" ht="13.15" x14ac:dyDescent="0.25">
      <c r="A14" s="235"/>
      <c r="B14" s="235"/>
      <c r="C14" s="235"/>
      <c r="D14" s="235"/>
      <c r="E14" s="235"/>
      <c r="F14" s="235"/>
      <c r="G14" s="235"/>
      <c r="H14" s="235"/>
      <c r="I14" s="235"/>
    </row>
    <row r="15" spans="1:11" ht="13.15" customHeight="1" x14ac:dyDescent="0.2">
      <c r="A15" s="253" t="s">
        <v>65</v>
      </c>
      <c r="B15" s="254"/>
      <c r="C15" s="255" t="s">
        <v>70</v>
      </c>
      <c r="D15" s="255"/>
      <c r="E15" s="257" t="s">
        <v>61</v>
      </c>
      <c r="F15" s="257"/>
      <c r="G15" s="258" t="s">
        <v>69</v>
      </c>
      <c r="H15" s="255" t="s">
        <v>68</v>
      </c>
      <c r="I15" s="258" t="s">
        <v>67</v>
      </c>
      <c r="J15" s="251" t="s">
        <v>66</v>
      </c>
      <c r="K15" s="252"/>
    </row>
    <row r="16" spans="1:11" ht="25.5" x14ac:dyDescent="0.2">
      <c r="A16" s="42" t="s">
        <v>65</v>
      </c>
      <c r="B16" s="194" t="s">
        <v>64</v>
      </c>
      <c r="C16" s="256"/>
      <c r="D16" s="256"/>
      <c r="E16" s="194" t="s">
        <v>63</v>
      </c>
      <c r="F16" s="194" t="s">
        <v>62</v>
      </c>
      <c r="G16" s="259"/>
      <c r="H16" s="256"/>
      <c r="I16" s="259"/>
      <c r="J16" s="43" t="s">
        <v>61</v>
      </c>
      <c r="K16" s="44" t="s">
        <v>60</v>
      </c>
    </row>
    <row r="17" spans="1:12" ht="14.45" x14ac:dyDescent="0.3">
      <c r="A17" s="31"/>
      <c r="B17" s="192"/>
      <c r="C17" s="234"/>
      <c r="D17" s="234"/>
      <c r="E17" s="30"/>
      <c r="F17" s="27"/>
      <c r="G17" s="26"/>
      <c r="H17" s="192"/>
      <c r="I17" s="21"/>
      <c r="J17" s="69"/>
      <c r="K17" s="45"/>
    </row>
    <row r="18" spans="1:12" ht="14.45" x14ac:dyDescent="0.3">
      <c r="A18" s="28" t="s">
        <v>321</v>
      </c>
      <c r="B18" s="192"/>
      <c r="C18" s="234"/>
      <c r="D18" s="234"/>
      <c r="E18" s="24">
        <v>6800</v>
      </c>
      <c r="F18" s="27">
        <v>6897</v>
      </c>
      <c r="G18" s="26">
        <f t="shared" ref="G18:G81" si="0">F18-E18</f>
        <v>97</v>
      </c>
      <c r="H18" s="192" t="s">
        <v>45</v>
      </c>
      <c r="I18" s="21">
        <f t="shared" ref="I18:I91" si="1">IF(H18="Business", G18, "0")</f>
        <v>97</v>
      </c>
      <c r="J18" s="69">
        <v>6832</v>
      </c>
      <c r="K18" s="70">
        <v>85.47</v>
      </c>
    </row>
    <row r="19" spans="1:12" ht="14.45" x14ac:dyDescent="0.3">
      <c r="A19" s="28">
        <v>40912</v>
      </c>
      <c r="B19" s="192"/>
      <c r="C19" s="234" t="s">
        <v>316</v>
      </c>
      <c r="D19" s="234"/>
      <c r="E19" s="24">
        <f t="shared" ref="E19:E92" si="2">F18</f>
        <v>6897</v>
      </c>
      <c r="F19" s="27">
        <v>6905</v>
      </c>
      <c r="G19" s="26">
        <f t="shared" si="0"/>
        <v>8</v>
      </c>
      <c r="H19" s="192" t="s">
        <v>45</v>
      </c>
      <c r="I19" s="21">
        <f t="shared" si="1"/>
        <v>8</v>
      </c>
      <c r="J19" s="69"/>
      <c r="K19" s="70"/>
    </row>
    <row r="20" spans="1:12" ht="14.45" x14ac:dyDescent="0.3">
      <c r="A20" s="28">
        <v>40917</v>
      </c>
      <c r="B20" s="192"/>
      <c r="C20" s="234" t="s">
        <v>317</v>
      </c>
      <c r="D20" s="234"/>
      <c r="E20" s="24">
        <f t="shared" si="2"/>
        <v>6905</v>
      </c>
      <c r="F20" s="27">
        <v>7010</v>
      </c>
      <c r="G20" s="26">
        <f t="shared" si="0"/>
        <v>105</v>
      </c>
      <c r="H20" s="192" t="s">
        <v>45</v>
      </c>
      <c r="I20" s="21">
        <f t="shared" si="1"/>
        <v>105</v>
      </c>
      <c r="J20" s="69"/>
      <c r="K20" s="70"/>
    </row>
    <row r="21" spans="1:12" ht="14.45" x14ac:dyDescent="0.3">
      <c r="A21" s="28">
        <v>40918</v>
      </c>
      <c r="B21" s="192"/>
      <c r="C21" s="234" t="s">
        <v>317</v>
      </c>
      <c r="D21" s="234"/>
      <c r="E21" s="24">
        <f t="shared" si="2"/>
        <v>7010</v>
      </c>
      <c r="F21" s="27">
        <v>7094</v>
      </c>
      <c r="G21" s="26">
        <f t="shared" si="0"/>
        <v>84</v>
      </c>
      <c r="H21" s="192" t="s">
        <v>45</v>
      </c>
      <c r="I21" s="21">
        <f t="shared" si="1"/>
        <v>84</v>
      </c>
      <c r="J21" s="69"/>
      <c r="K21" s="70"/>
    </row>
    <row r="22" spans="1:12" ht="14.45" x14ac:dyDescent="0.3">
      <c r="A22" s="28">
        <v>40919</v>
      </c>
      <c r="B22" s="192"/>
      <c r="C22" s="234" t="s">
        <v>318</v>
      </c>
      <c r="D22" s="234"/>
      <c r="E22" s="24">
        <f t="shared" si="2"/>
        <v>7094</v>
      </c>
      <c r="F22" s="27">
        <v>7194</v>
      </c>
      <c r="G22" s="26">
        <f t="shared" si="0"/>
        <v>100</v>
      </c>
      <c r="H22" s="192" t="s">
        <v>45</v>
      </c>
      <c r="I22" s="21">
        <f t="shared" si="1"/>
        <v>100</v>
      </c>
      <c r="J22" s="69"/>
      <c r="K22" s="70"/>
    </row>
    <row r="23" spans="1:12" ht="14.45" x14ac:dyDescent="0.3">
      <c r="A23" s="28">
        <v>40920</v>
      </c>
      <c r="B23" s="192"/>
      <c r="C23" s="234" t="s">
        <v>317</v>
      </c>
      <c r="D23" s="234"/>
      <c r="E23" s="24">
        <f t="shared" si="2"/>
        <v>7194</v>
      </c>
      <c r="F23" s="27">
        <v>7290</v>
      </c>
      <c r="G23" s="26">
        <f t="shared" si="0"/>
        <v>96</v>
      </c>
      <c r="H23" s="192" t="s">
        <v>45</v>
      </c>
      <c r="I23" s="21">
        <f t="shared" si="1"/>
        <v>96</v>
      </c>
      <c r="J23" s="69"/>
      <c r="K23" s="70"/>
    </row>
    <row r="24" spans="1:12" ht="14.45" x14ac:dyDescent="0.3">
      <c r="A24" s="28">
        <v>40921</v>
      </c>
      <c r="B24" s="192"/>
      <c r="C24" s="234" t="s">
        <v>318</v>
      </c>
      <c r="D24" s="234"/>
      <c r="E24" s="24">
        <f t="shared" si="2"/>
        <v>7290</v>
      </c>
      <c r="F24" s="27">
        <v>7400</v>
      </c>
      <c r="G24" s="26">
        <f t="shared" si="0"/>
        <v>110</v>
      </c>
      <c r="H24" s="192" t="s">
        <v>45</v>
      </c>
      <c r="I24" s="21">
        <f t="shared" si="1"/>
        <v>110</v>
      </c>
      <c r="J24" s="69"/>
      <c r="K24" s="70"/>
    </row>
    <row r="25" spans="1:12" ht="14.45" x14ac:dyDescent="0.3">
      <c r="A25" s="28">
        <v>40924</v>
      </c>
      <c r="B25" s="192"/>
      <c r="C25" s="234" t="s">
        <v>318</v>
      </c>
      <c r="D25" s="234"/>
      <c r="E25" s="24">
        <f t="shared" si="2"/>
        <v>7400</v>
      </c>
      <c r="F25" s="27">
        <v>7572</v>
      </c>
      <c r="G25" s="26">
        <f t="shared" si="0"/>
        <v>172</v>
      </c>
      <c r="H25" s="192" t="s">
        <v>45</v>
      </c>
      <c r="I25" s="21">
        <f t="shared" si="1"/>
        <v>172</v>
      </c>
      <c r="J25" s="69">
        <v>7570</v>
      </c>
      <c r="K25" s="70">
        <v>87.34</v>
      </c>
    </row>
    <row r="26" spans="1:12" ht="14.45" customHeight="1" x14ac:dyDescent="0.3">
      <c r="A26" s="28">
        <v>40925</v>
      </c>
      <c r="B26" s="192"/>
      <c r="C26" s="234" t="s">
        <v>318</v>
      </c>
      <c r="D26" s="234"/>
      <c r="E26" s="24">
        <f t="shared" si="2"/>
        <v>7572</v>
      </c>
      <c r="F26" s="27">
        <v>7672</v>
      </c>
      <c r="G26" s="26">
        <f t="shared" si="0"/>
        <v>100</v>
      </c>
      <c r="H26" s="192" t="s">
        <v>45</v>
      </c>
      <c r="I26" s="21">
        <f t="shared" si="1"/>
        <v>100</v>
      </c>
      <c r="J26" s="69"/>
      <c r="K26" s="70"/>
    </row>
    <row r="27" spans="1:12" ht="14.45" customHeight="1" x14ac:dyDescent="0.3">
      <c r="A27" s="28">
        <v>40926</v>
      </c>
      <c r="B27" s="192"/>
      <c r="C27" s="234" t="s">
        <v>318</v>
      </c>
      <c r="D27" s="234"/>
      <c r="E27" s="24">
        <f t="shared" si="2"/>
        <v>7672</v>
      </c>
      <c r="F27" s="27">
        <v>7761</v>
      </c>
      <c r="G27" s="26">
        <f t="shared" si="0"/>
        <v>89</v>
      </c>
      <c r="H27" s="192" t="s">
        <v>45</v>
      </c>
      <c r="I27" s="21">
        <f t="shared" si="1"/>
        <v>89</v>
      </c>
      <c r="J27" s="69"/>
      <c r="K27" s="70"/>
      <c r="L27" s="29"/>
    </row>
    <row r="28" spans="1:12" ht="14.45" customHeight="1" x14ac:dyDescent="0.3">
      <c r="A28" s="28">
        <v>40927</v>
      </c>
      <c r="B28" s="192"/>
      <c r="C28" s="234" t="s">
        <v>318</v>
      </c>
      <c r="D28" s="234"/>
      <c r="E28" s="24">
        <f t="shared" si="2"/>
        <v>7761</v>
      </c>
      <c r="F28" s="27">
        <v>7855</v>
      </c>
      <c r="G28" s="26">
        <f t="shared" si="0"/>
        <v>94</v>
      </c>
      <c r="H28" s="192" t="s">
        <v>45</v>
      </c>
      <c r="I28" s="21">
        <f t="shared" si="1"/>
        <v>94</v>
      </c>
      <c r="J28" s="69"/>
      <c r="K28" s="70"/>
    </row>
    <row r="29" spans="1:12" ht="14.45" customHeight="1" x14ac:dyDescent="0.3">
      <c r="A29" s="28">
        <v>40928</v>
      </c>
      <c r="B29" s="192"/>
      <c r="C29" s="234" t="s">
        <v>318</v>
      </c>
      <c r="D29" s="234"/>
      <c r="E29" s="24">
        <f t="shared" si="2"/>
        <v>7855</v>
      </c>
      <c r="F29" s="27">
        <v>7961</v>
      </c>
      <c r="G29" s="26">
        <f t="shared" si="0"/>
        <v>106</v>
      </c>
      <c r="H29" s="192" t="s">
        <v>45</v>
      </c>
      <c r="I29" s="21">
        <f t="shared" si="1"/>
        <v>106</v>
      </c>
      <c r="J29" s="69"/>
      <c r="K29" s="70"/>
    </row>
    <row r="30" spans="1:12" ht="14.45" x14ac:dyDescent="0.3">
      <c r="A30" s="28">
        <v>40929</v>
      </c>
      <c r="B30" s="192"/>
      <c r="C30" s="234" t="s">
        <v>319</v>
      </c>
      <c r="D30" s="234"/>
      <c r="E30" s="24">
        <f>F29</f>
        <v>7961</v>
      </c>
      <c r="F30" s="27">
        <v>8092</v>
      </c>
      <c r="G30" s="26">
        <f t="shared" si="0"/>
        <v>131</v>
      </c>
      <c r="H30" s="192" t="s">
        <v>45</v>
      </c>
      <c r="I30" s="21">
        <f t="shared" si="1"/>
        <v>131</v>
      </c>
      <c r="J30" s="69"/>
      <c r="K30" s="70"/>
    </row>
    <row r="31" spans="1:12" ht="14.45" x14ac:dyDescent="0.3">
      <c r="A31" s="28">
        <v>40930</v>
      </c>
      <c r="B31" s="192"/>
      <c r="C31" s="234" t="s">
        <v>320</v>
      </c>
      <c r="D31" s="234"/>
      <c r="E31" s="24">
        <f>F30</f>
        <v>8092</v>
      </c>
      <c r="F31" s="27">
        <v>8219</v>
      </c>
      <c r="G31" s="26">
        <f t="shared" si="0"/>
        <v>127</v>
      </c>
      <c r="H31" s="192" t="s">
        <v>45</v>
      </c>
      <c r="I31" s="21">
        <f t="shared" si="1"/>
        <v>127</v>
      </c>
      <c r="J31" s="69"/>
      <c r="K31" s="70"/>
    </row>
    <row r="32" spans="1:12" ht="14.45" x14ac:dyDescent="0.3">
      <c r="A32" s="28">
        <v>40931</v>
      </c>
      <c r="B32" s="192"/>
      <c r="C32" s="234" t="s">
        <v>318</v>
      </c>
      <c r="D32" s="234"/>
      <c r="E32" s="24">
        <f>F31</f>
        <v>8219</v>
      </c>
      <c r="F32" s="27">
        <v>8314</v>
      </c>
      <c r="G32" s="26">
        <f t="shared" si="0"/>
        <v>95</v>
      </c>
      <c r="H32" s="192" t="s">
        <v>45</v>
      </c>
      <c r="I32" s="21">
        <f t="shared" si="1"/>
        <v>95</v>
      </c>
      <c r="J32" s="69">
        <v>8311</v>
      </c>
      <c r="K32" s="70">
        <v>85.55</v>
      </c>
    </row>
    <row r="33" spans="1:11" ht="15" x14ac:dyDescent="0.25">
      <c r="A33" s="28">
        <v>40932</v>
      </c>
      <c r="B33" s="192"/>
      <c r="C33" s="234" t="s">
        <v>318</v>
      </c>
      <c r="D33" s="234"/>
      <c r="E33" s="24">
        <f t="shared" si="2"/>
        <v>8314</v>
      </c>
      <c r="F33" s="27">
        <v>8369</v>
      </c>
      <c r="G33" s="26">
        <f t="shared" si="0"/>
        <v>55</v>
      </c>
      <c r="H33" s="192" t="s">
        <v>45</v>
      </c>
      <c r="I33" s="21">
        <f t="shared" si="1"/>
        <v>55</v>
      </c>
      <c r="J33" s="69"/>
      <c r="K33" s="70"/>
    </row>
    <row r="34" spans="1:11" ht="15" x14ac:dyDescent="0.25">
      <c r="A34" s="28">
        <v>40933</v>
      </c>
      <c r="B34" s="192"/>
      <c r="C34" s="234" t="s">
        <v>318</v>
      </c>
      <c r="D34" s="234"/>
      <c r="E34" s="24">
        <f t="shared" si="2"/>
        <v>8369</v>
      </c>
      <c r="F34" s="27">
        <v>8415</v>
      </c>
      <c r="G34" s="26">
        <f t="shared" si="0"/>
        <v>46</v>
      </c>
      <c r="H34" s="192" t="s">
        <v>45</v>
      </c>
      <c r="I34" s="21">
        <f t="shared" si="1"/>
        <v>46</v>
      </c>
      <c r="J34" s="69"/>
      <c r="K34" s="70"/>
    </row>
    <row r="35" spans="1:11" ht="15" x14ac:dyDescent="0.25">
      <c r="A35" s="28">
        <v>40935</v>
      </c>
      <c r="B35" s="192"/>
      <c r="C35" s="234" t="s">
        <v>318</v>
      </c>
      <c r="D35" s="234"/>
      <c r="E35" s="24">
        <f t="shared" si="2"/>
        <v>8415</v>
      </c>
      <c r="F35" s="27">
        <v>8499</v>
      </c>
      <c r="G35" s="26">
        <f t="shared" si="0"/>
        <v>84</v>
      </c>
      <c r="H35" s="192" t="s">
        <v>45</v>
      </c>
      <c r="I35" s="21">
        <f t="shared" si="1"/>
        <v>84</v>
      </c>
      <c r="J35" s="69"/>
      <c r="K35" s="70"/>
    </row>
    <row r="36" spans="1:11" ht="15" x14ac:dyDescent="0.25">
      <c r="A36" s="28">
        <v>40938</v>
      </c>
      <c r="B36" s="192"/>
      <c r="C36" s="234" t="s">
        <v>318</v>
      </c>
      <c r="D36" s="234"/>
      <c r="E36" s="24">
        <f t="shared" si="2"/>
        <v>8499</v>
      </c>
      <c r="F36" s="27">
        <v>8633</v>
      </c>
      <c r="G36" s="26">
        <f t="shared" si="0"/>
        <v>134</v>
      </c>
      <c r="H36" s="192" t="s">
        <v>45</v>
      </c>
      <c r="I36" s="21">
        <f t="shared" si="1"/>
        <v>134</v>
      </c>
      <c r="J36" s="69"/>
      <c r="K36" s="70"/>
    </row>
    <row r="37" spans="1:11" ht="15" x14ac:dyDescent="0.25">
      <c r="A37" s="28">
        <v>40939</v>
      </c>
      <c r="B37" s="192"/>
      <c r="C37" s="234" t="s">
        <v>318</v>
      </c>
      <c r="D37" s="234"/>
      <c r="E37" s="24">
        <f t="shared" si="2"/>
        <v>8633</v>
      </c>
      <c r="F37" s="27">
        <v>8732</v>
      </c>
      <c r="G37" s="26">
        <f t="shared" si="0"/>
        <v>99</v>
      </c>
      <c r="H37" s="192" t="s">
        <v>45</v>
      </c>
      <c r="I37" s="21">
        <f t="shared" si="1"/>
        <v>99</v>
      </c>
      <c r="J37" s="69"/>
      <c r="K37" s="70"/>
    </row>
    <row r="38" spans="1:11" ht="14.45" customHeight="1" x14ac:dyDescent="0.25">
      <c r="A38" s="28">
        <v>40940</v>
      </c>
      <c r="B38" s="192"/>
      <c r="C38" s="234" t="s">
        <v>317</v>
      </c>
      <c r="D38" s="234"/>
      <c r="E38" s="24">
        <f t="shared" si="2"/>
        <v>8732</v>
      </c>
      <c r="F38" s="27">
        <v>8821</v>
      </c>
      <c r="G38" s="26">
        <f t="shared" si="0"/>
        <v>89</v>
      </c>
      <c r="H38" s="192" t="s">
        <v>45</v>
      </c>
      <c r="I38" s="21">
        <f t="shared" si="1"/>
        <v>89</v>
      </c>
      <c r="J38" s="69"/>
      <c r="K38" s="70"/>
    </row>
    <row r="39" spans="1:11" ht="15" x14ac:dyDescent="0.25">
      <c r="A39" s="28">
        <v>40941</v>
      </c>
      <c r="B39" s="192"/>
      <c r="C39" s="234" t="s">
        <v>317</v>
      </c>
      <c r="D39" s="234"/>
      <c r="E39" s="24">
        <f t="shared" si="2"/>
        <v>8821</v>
      </c>
      <c r="F39" s="27">
        <v>8902</v>
      </c>
      <c r="G39" s="26">
        <f t="shared" si="0"/>
        <v>81</v>
      </c>
      <c r="H39" s="192" t="s">
        <v>45</v>
      </c>
      <c r="I39" s="21">
        <f t="shared" si="1"/>
        <v>81</v>
      </c>
      <c r="J39" s="69">
        <v>8903</v>
      </c>
      <c r="K39" s="70">
        <v>64.67</v>
      </c>
    </row>
    <row r="40" spans="1:11" ht="15" x14ac:dyDescent="0.25">
      <c r="A40" s="28">
        <v>40942</v>
      </c>
      <c r="B40" s="192"/>
      <c r="C40" s="234" t="s">
        <v>317</v>
      </c>
      <c r="D40" s="234"/>
      <c r="E40" s="24">
        <f t="shared" si="2"/>
        <v>8902</v>
      </c>
      <c r="F40" s="27">
        <v>8989</v>
      </c>
      <c r="G40" s="26">
        <f t="shared" si="0"/>
        <v>87</v>
      </c>
      <c r="H40" s="192" t="s">
        <v>45</v>
      </c>
      <c r="I40" s="21">
        <f t="shared" si="1"/>
        <v>87</v>
      </c>
      <c r="J40" s="69"/>
      <c r="K40" s="70"/>
    </row>
    <row r="41" spans="1:11" ht="15" x14ac:dyDescent="0.25">
      <c r="A41" s="28">
        <v>40945</v>
      </c>
      <c r="B41" s="192"/>
      <c r="C41" s="234" t="s">
        <v>322</v>
      </c>
      <c r="D41" s="234"/>
      <c r="E41" s="24">
        <f t="shared" si="2"/>
        <v>8989</v>
      </c>
      <c r="F41" s="27">
        <v>9456</v>
      </c>
      <c r="G41" s="26">
        <f t="shared" si="0"/>
        <v>467</v>
      </c>
      <c r="H41" s="192" t="s">
        <v>45</v>
      </c>
      <c r="I41" s="21">
        <f t="shared" si="1"/>
        <v>467</v>
      </c>
      <c r="J41" s="69"/>
      <c r="K41" s="70"/>
    </row>
    <row r="42" spans="1:11" ht="15" x14ac:dyDescent="0.25">
      <c r="A42" s="28">
        <v>40946</v>
      </c>
      <c r="B42" s="192"/>
      <c r="C42" s="234" t="s">
        <v>318</v>
      </c>
      <c r="D42" s="234"/>
      <c r="E42" s="24">
        <f t="shared" si="2"/>
        <v>9456</v>
      </c>
      <c r="F42" s="27">
        <v>9555</v>
      </c>
      <c r="G42" s="26">
        <f t="shared" si="0"/>
        <v>99</v>
      </c>
      <c r="H42" s="192" t="s">
        <v>45</v>
      </c>
      <c r="I42" s="21">
        <f t="shared" si="1"/>
        <v>99</v>
      </c>
      <c r="J42" s="69"/>
      <c r="K42" s="70"/>
    </row>
    <row r="43" spans="1:11" ht="15" x14ac:dyDescent="0.25">
      <c r="A43" s="28">
        <v>40947</v>
      </c>
      <c r="B43" s="192"/>
      <c r="C43" s="234" t="s">
        <v>318</v>
      </c>
      <c r="D43" s="234"/>
      <c r="E43" s="24">
        <f t="shared" si="2"/>
        <v>9555</v>
      </c>
      <c r="F43" s="27">
        <v>9649</v>
      </c>
      <c r="G43" s="26">
        <f t="shared" si="0"/>
        <v>94</v>
      </c>
      <c r="H43" s="192" t="s">
        <v>45</v>
      </c>
      <c r="I43" s="21">
        <f t="shared" si="1"/>
        <v>94</v>
      </c>
      <c r="J43" s="69">
        <v>9647</v>
      </c>
      <c r="K43" s="70">
        <v>79.87</v>
      </c>
    </row>
    <row r="44" spans="1:11" ht="15" x14ac:dyDescent="0.25">
      <c r="A44" s="28">
        <v>40948</v>
      </c>
      <c r="B44" s="192"/>
      <c r="C44" s="234" t="s">
        <v>318</v>
      </c>
      <c r="D44" s="234"/>
      <c r="E44" s="24">
        <f t="shared" si="2"/>
        <v>9649</v>
      </c>
      <c r="F44" s="27">
        <v>9744</v>
      </c>
      <c r="G44" s="26">
        <f t="shared" si="0"/>
        <v>95</v>
      </c>
      <c r="H44" s="192" t="s">
        <v>45</v>
      </c>
      <c r="I44" s="21">
        <f t="shared" si="1"/>
        <v>95</v>
      </c>
      <c r="J44" s="69"/>
      <c r="K44" s="70"/>
    </row>
    <row r="45" spans="1:11" ht="15" x14ac:dyDescent="0.25">
      <c r="A45" s="28">
        <v>40949</v>
      </c>
      <c r="B45" s="192"/>
      <c r="C45" s="234" t="s">
        <v>318</v>
      </c>
      <c r="D45" s="234"/>
      <c r="E45" s="24">
        <f t="shared" si="2"/>
        <v>9744</v>
      </c>
      <c r="F45" s="27">
        <v>9940</v>
      </c>
      <c r="G45" s="26">
        <f t="shared" si="0"/>
        <v>196</v>
      </c>
      <c r="H45" s="192" t="s">
        <v>45</v>
      </c>
      <c r="I45" s="21">
        <f t="shared" si="1"/>
        <v>196</v>
      </c>
      <c r="J45" s="69"/>
      <c r="K45" s="70"/>
    </row>
    <row r="46" spans="1:11" ht="15" x14ac:dyDescent="0.25">
      <c r="A46" s="28">
        <v>40951</v>
      </c>
      <c r="B46" s="192"/>
      <c r="C46" s="234" t="s">
        <v>318</v>
      </c>
      <c r="D46" s="234"/>
      <c r="E46" s="24">
        <f t="shared" si="2"/>
        <v>9940</v>
      </c>
      <c r="F46" s="27">
        <v>10000</v>
      </c>
      <c r="G46" s="26">
        <f t="shared" si="0"/>
        <v>60</v>
      </c>
      <c r="H46" s="192" t="s">
        <v>45</v>
      </c>
      <c r="I46" s="21">
        <f t="shared" si="1"/>
        <v>60</v>
      </c>
      <c r="J46" s="69"/>
      <c r="K46" s="70"/>
    </row>
    <row r="47" spans="1:11" ht="15" x14ac:dyDescent="0.25">
      <c r="A47" s="28">
        <v>40952</v>
      </c>
      <c r="B47" s="192"/>
      <c r="C47" s="234" t="s">
        <v>318</v>
      </c>
      <c r="D47" s="234"/>
      <c r="E47" s="24">
        <f t="shared" si="2"/>
        <v>10000</v>
      </c>
      <c r="F47" s="27">
        <v>10145</v>
      </c>
      <c r="G47" s="26">
        <f t="shared" si="0"/>
        <v>145</v>
      </c>
      <c r="H47" s="192" t="s">
        <v>45</v>
      </c>
      <c r="I47" s="21">
        <f t="shared" si="1"/>
        <v>145</v>
      </c>
      <c r="J47" s="69"/>
      <c r="K47" s="70"/>
    </row>
    <row r="48" spans="1:11" ht="15" x14ac:dyDescent="0.25">
      <c r="A48" s="28">
        <v>40953</v>
      </c>
      <c r="B48" s="192"/>
      <c r="C48" s="234" t="s">
        <v>318</v>
      </c>
      <c r="D48" s="234"/>
      <c r="E48" s="24">
        <f t="shared" si="2"/>
        <v>10145</v>
      </c>
      <c r="F48" s="27">
        <v>10231</v>
      </c>
      <c r="G48" s="26">
        <f t="shared" si="0"/>
        <v>86</v>
      </c>
      <c r="H48" s="192" t="s">
        <v>45</v>
      </c>
      <c r="I48" s="21">
        <f t="shared" si="1"/>
        <v>86</v>
      </c>
      <c r="J48" s="69"/>
      <c r="K48" s="70"/>
    </row>
    <row r="49" spans="1:11" ht="15" x14ac:dyDescent="0.25">
      <c r="A49" s="28" t="s">
        <v>323</v>
      </c>
      <c r="B49" s="192"/>
      <c r="C49" s="234" t="s">
        <v>318</v>
      </c>
      <c r="D49" s="234"/>
      <c r="E49" s="24">
        <f t="shared" si="2"/>
        <v>10231</v>
      </c>
      <c r="F49" s="27">
        <v>10328</v>
      </c>
      <c r="G49" s="26">
        <f t="shared" si="0"/>
        <v>97</v>
      </c>
      <c r="H49" s="192" t="s">
        <v>45</v>
      </c>
      <c r="I49" s="21">
        <f t="shared" si="1"/>
        <v>97</v>
      </c>
      <c r="J49" s="69">
        <v>10323</v>
      </c>
      <c r="K49" s="70">
        <v>76.19</v>
      </c>
    </row>
    <row r="50" spans="1:11" ht="15" x14ac:dyDescent="0.25">
      <c r="A50" s="28">
        <v>40954</v>
      </c>
      <c r="B50" s="192"/>
      <c r="C50" s="234" t="s">
        <v>317</v>
      </c>
      <c r="D50" s="234"/>
      <c r="E50" s="24">
        <f t="shared" si="2"/>
        <v>10328</v>
      </c>
      <c r="F50" s="27">
        <v>10444</v>
      </c>
      <c r="G50" s="26">
        <f t="shared" si="0"/>
        <v>116</v>
      </c>
      <c r="H50" s="192" t="s">
        <v>45</v>
      </c>
      <c r="I50" s="21">
        <f t="shared" si="1"/>
        <v>116</v>
      </c>
      <c r="J50" s="69"/>
      <c r="K50" s="70"/>
    </row>
    <row r="51" spans="1:11" ht="15" x14ac:dyDescent="0.25">
      <c r="A51" s="28">
        <v>40955</v>
      </c>
      <c r="B51" s="192"/>
      <c r="C51" s="234" t="s">
        <v>317</v>
      </c>
      <c r="D51" s="234"/>
      <c r="E51" s="24">
        <f t="shared" si="2"/>
        <v>10444</v>
      </c>
      <c r="F51" s="27">
        <v>10617</v>
      </c>
      <c r="G51" s="26">
        <f t="shared" si="0"/>
        <v>173</v>
      </c>
      <c r="H51" s="192" t="s">
        <v>45</v>
      </c>
      <c r="I51" s="21">
        <f t="shared" si="1"/>
        <v>173</v>
      </c>
      <c r="J51" s="69"/>
      <c r="K51" s="70"/>
    </row>
    <row r="52" spans="1:11" ht="15" x14ac:dyDescent="0.25">
      <c r="A52" s="28">
        <v>40959</v>
      </c>
      <c r="B52" s="192"/>
      <c r="C52" s="247" t="s">
        <v>317</v>
      </c>
      <c r="D52" s="248"/>
      <c r="E52" s="24">
        <f t="shared" si="2"/>
        <v>10617</v>
      </c>
      <c r="F52" s="27">
        <v>10705</v>
      </c>
      <c r="G52" s="26">
        <f t="shared" si="0"/>
        <v>88</v>
      </c>
      <c r="H52" s="192" t="s">
        <v>45</v>
      </c>
      <c r="I52" s="21">
        <f t="shared" si="1"/>
        <v>88</v>
      </c>
      <c r="J52" s="69"/>
      <c r="K52" s="70"/>
    </row>
    <row r="53" spans="1:11" ht="15" x14ac:dyDescent="0.25">
      <c r="A53" s="28">
        <v>40960</v>
      </c>
      <c r="B53" s="192"/>
      <c r="C53" s="249" t="s">
        <v>317</v>
      </c>
      <c r="D53" s="250"/>
      <c r="E53" s="24">
        <f t="shared" si="2"/>
        <v>10705</v>
      </c>
      <c r="F53" s="27">
        <v>10795</v>
      </c>
      <c r="G53" s="26">
        <f t="shared" si="0"/>
        <v>90</v>
      </c>
      <c r="H53" s="192" t="s">
        <v>45</v>
      </c>
      <c r="I53" s="21">
        <f t="shared" si="1"/>
        <v>90</v>
      </c>
      <c r="J53" s="69"/>
      <c r="K53" s="70"/>
    </row>
    <row r="54" spans="1:11" ht="15" x14ac:dyDescent="0.25">
      <c r="A54" s="28">
        <v>40961</v>
      </c>
      <c r="B54" s="192"/>
      <c r="C54" s="247" t="s">
        <v>317</v>
      </c>
      <c r="D54" s="248"/>
      <c r="E54" s="24">
        <f t="shared" si="2"/>
        <v>10795</v>
      </c>
      <c r="F54" s="27">
        <v>10892</v>
      </c>
      <c r="G54" s="26">
        <f t="shared" si="0"/>
        <v>97</v>
      </c>
      <c r="H54" s="192" t="s">
        <v>45</v>
      </c>
      <c r="I54" s="21">
        <f t="shared" si="1"/>
        <v>97</v>
      </c>
      <c r="J54" s="69"/>
      <c r="K54" s="70"/>
    </row>
    <row r="55" spans="1:11" ht="14.45" customHeight="1" x14ac:dyDescent="0.25">
      <c r="A55" s="28">
        <v>40962</v>
      </c>
      <c r="B55" s="192"/>
      <c r="C55" s="247" t="s">
        <v>318</v>
      </c>
      <c r="D55" s="248"/>
      <c r="E55" s="24">
        <f t="shared" si="2"/>
        <v>10892</v>
      </c>
      <c r="F55" s="27">
        <v>10995</v>
      </c>
      <c r="G55" s="26">
        <f t="shared" si="0"/>
        <v>103</v>
      </c>
      <c r="H55" s="192" t="s">
        <v>45</v>
      </c>
      <c r="I55" s="21">
        <f t="shared" si="1"/>
        <v>103</v>
      </c>
      <c r="J55" s="69">
        <v>10992</v>
      </c>
      <c r="K55" s="70">
        <v>78.77</v>
      </c>
    </row>
    <row r="56" spans="1:11" ht="15" x14ac:dyDescent="0.25">
      <c r="A56" s="28" t="s">
        <v>324</v>
      </c>
      <c r="B56" s="192"/>
      <c r="C56" s="247" t="s">
        <v>327</v>
      </c>
      <c r="D56" s="248"/>
      <c r="E56" s="24">
        <f t="shared" si="2"/>
        <v>10995</v>
      </c>
      <c r="F56" s="27">
        <v>11828</v>
      </c>
      <c r="G56" s="26">
        <f t="shared" si="0"/>
        <v>833</v>
      </c>
      <c r="H56" s="192" t="s">
        <v>45</v>
      </c>
      <c r="I56" s="21">
        <f t="shared" si="1"/>
        <v>833</v>
      </c>
      <c r="J56" s="69">
        <v>11432</v>
      </c>
      <c r="K56" s="70">
        <v>45.49</v>
      </c>
    </row>
    <row r="57" spans="1:11" ht="15" x14ac:dyDescent="0.25">
      <c r="A57" s="28">
        <v>40966</v>
      </c>
      <c r="B57" s="192"/>
      <c r="C57" s="247" t="s">
        <v>317</v>
      </c>
      <c r="D57" s="248"/>
      <c r="E57" s="24">
        <f t="shared" si="2"/>
        <v>11828</v>
      </c>
      <c r="F57" s="27">
        <v>11910</v>
      </c>
      <c r="G57" s="26">
        <f t="shared" si="0"/>
        <v>82</v>
      </c>
      <c r="H57" s="192" t="s">
        <v>45</v>
      </c>
      <c r="I57" s="21">
        <f t="shared" si="1"/>
        <v>82</v>
      </c>
      <c r="J57" s="69"/>
      <c r="K57" s="70"/>
    </row>
    <row r="58" spans="1:11" ht="15" x14ac:dyDescent="0.25">
      <c r="A58" s="28">
        <v>40967</v>
      </c>
      <c r="B58" s="192"/>
      <c r="C58" s="247" t="s">
        <v>317</v>
      </c>
      <c r="D58" s="248"/>
      <c r="E58" s="24">
        <f t="shared" si="2"/>
        <v>11910</v>
      </c>
      <c r="F58" s="27">
        <v>11996</v>
      </c>
      <c r="G58" s="26">
        <f t="shared" si="0"/>
        <v>86</v>
      </c>
      <c r="H58" s="192" t="s">
        <v>45</v>
      </c>
      <c r="I58" s="21">
        <f t="shared" si="1"/>
        <v>86</v>
      </c>
      <c r="J58" s="69"/>
      <c r="K58" s="70"/>
    </row>
    <row r="59" spans="1:11" ht="15" x14ac:dyDescent="0.25">
      <c r="A59" s="28">
        <v>40968</v>
      </c>
      <c r="B59" s="192"/>
      <c r="C59" s="247" t="s">
        <v>317</v>
      </c>
      <c r="D59" s="248"/>
      <c r="E59" s="24">
        <f t="shared" si="2"/>
        <v>11996</v>
      </c>
      <c r="F59" s="27">
        <v>12097</v>
      </c>
      <c r="G59" s="26">
        <f t="shared" si="0"/>
        <v>101</v>
      </c>
      <c r="H59" s="192" t="s">
        <v>45</v>
      </c>
      <c r="I59" s="21">
        <f t="shared" si="1"/>
        <v>101</v>
      </c>
      <c r="J59" s="69"/>
      <c r="K59" s="70"/>
    </row>
    <row r="60" spans="1:11" ht="15" x14ac:dyDescent="0.25">
      <c r="A60" s="28">
        <v>40969</v>
      </c>
      <c r="B60" s="192"/>
      <c r="C60" s="247" t="s">
        <v>317</v>
      </c>
      <c r="D60" s="248"/>
      <c r="E60" s="24">
        <f t="shared" si="2"/>
        <v>12097</v>
      </c>
      <c r="F60" s="27">
        <v>12180</v>
      </c>
      <c r="G60" s="26">
        <f t="shared" si="0"/>
        <v>83</v>
      </c>
      <c r="H60" s="192" t="s">
        <v>45</v>
      </c>
      <c r="I60" s="21">
        <f t="shared" si="1"/>
        <v>83</v>
      </c>
      <c r="J60" s="69">
        <v>12092</v>
      </c>
      <c r="K60" s="71">
        <v>64.19</v>
      </c>
    </row>
    <row r="61" spans="1:11" ht="15" x14ac:dyDescent="0.25">
      <c r="A61" s="28">
        <v>40970</v>
      </c>
      <c r="B61" s="192"/>
      <c r="C61" s="247" t="s">
        <v>317</v>
      </c>
      <c r="D61" s="248"/>
      <c r="E61" s="24">
        <f t="shared" si="2"/>
        <v>12180</v>
      </c>
      <c r="F61" s="27">
        <v>12289</v>
      </c>
      <c r="G61" s="26">
        <f t="shared" si="0"/>
        <v>109</v>
      </c>
      <c r="H61" s="192" t="s">
        <v>45</v>
      </c>
      <c r="I61" s="21">
        <f t="shared" si="1"/>
        <v>109</v>
      </c>
      <c r="J61" s="69"/>
      <c r="K61" s="71"/>
    </row>
    <row r="62" spans="1:11" ht="15" x14ac:dyDescent="0.25">
      <c r="A62" s="28">
        <v>40971</v>
      </c>
      <c r="B62" s="192"/>
      <c r="C62" s="247" t="s">
        <v>328</v>
      </c>
      <c r="D62" s="248"/>
      <c r="E62" s="24">
        <f t="shared" si="2"/>
        <v>12289</v>
      </c>
      <c r="F62" s="27">
        <v>12380</v>
      </c>
      <c r="G62" s="26">
        <f t="shared" si="0"/>
        <v>91</v>
      </c>
      <c r="H62" s="192" t="s">
        <v>45</v>
      </c>
      <c r="I62" s="21">
        <f t="shared" si="1"/>
        <v>91</v>
      </c>
      <c r="J62" s="69"/>
      <c r="K62" s="71"/>
    </row>
    <row r="63" spans="1:11" ht="15" x14ac:dyDescent="0.25">
      <c r="A63" s="28">
        <v>40973</v>
      </c>
      <c r="B63" s="192"/>
      <c r="C63" s="247" t="s">
        <v>317</v>
      </c>
      <c r="D63" s="248"/>
      <c r="E63" s="24">
        <f t="shared" si="2"/>
        <v>12380</v>
      </c>
      <c r="F63" s="27">
        <v>12474</v>
      </c>
      <c r="G63" s="26">
        <f t="shared" si="0"/>
        <v>94</v>
      </c>
      <c r="H63" s="192" t="s">
        <v>45</v>
      </c>
      <c r="I63" s="21">
        <f t="shared" si="1"/>
        <v>94</v>
      </c>
      <c r="J63" s="69"/>
      <c r="K63" s="71"/>
    </row>
    <row r="64" spans="1:11" ht="15" x14ac:dyDescent="0.25">
      <c r="A64" s="28">
        <v>41096</v>
      </c>
      <c r="B64" s="192"/>
      <c r="C64" s="247" t="s">
        <v>317</v>
      </c>
      <c r="D64" s="248"/>
      <c r="E64" s="24">
        <f t="shared" si="2"/>
        <v>12474</v>
      </c>
      <c r="F64" s="23">
        <v>12559</v>
      </c>
      <c r="G64" s="22">
        <f t="shared" si="0"/>
        <v>85</v>
      </c>
      <c r="H64" s="192" t="s">
        <v>45</v>
      </c>
      <c r="I64" s="21">
        <f t="shared" si="1"/>
        <v>85</v>
      </c>
      <c r="J64" s="69"/>
      <c r="K64" s="71"/>
    </row>
    <row r="65" spans="1:11" ht="15" x14ac:dyDescent="0.25">
      <c r="A65" s="25">
        <v>40975</v>
      </c>
      <c r="B65" s="50"/>
      <c r="C65" s="247" t="s">
        <v>318</v>
      </c>
      <c r="D65" s="248"/>
      <c r="E65" s="24">
        <f t="shared" si="2"/>
        <v>12559</v>
      </c>
      <c r="F65" s="27">
        <v>12671</v>
      </c>
      <c r="G65" s="26">
        <f t="shared" si="0"/>
        <v>112</v>
      </c>
      <c r="H65" s="192" t="s">
        <v>45</v>
      </c>
      <c r="I65" s="21">
        <f t="shared" si="1"/>
        <v>112</v>
      </c>
      <c r="J65" s="69">
        <v>12651</v>
      </c>
      <c r="K65" s="71">
        <v>63.94</v>
      </c>
    </row>
    <row r="66" spans="1:11" ht="15" x14ac:dyDescent="0.25">
      <c r="A66" s="28">
        <v>40976</v>
      </c>
      <c r="B66" s="192"/>
      <c r="C66" s="247" t="s">
        <v>317</v>
      </c>
      <c r="D66" s="248"/>
      <c r="E66" s="24">
        <f t="shared" si="2"/>
        <v>12671</v>
      </c>
      <c r="F66" s="27">
        <v>12796</v>
      </c>
      <c r="G66" s="26">
        <f t="shared" si="0"/>
        <v>125</v>
      </c>
      <c r="H66" s="192" t="s">
        <v>45</v>
      </c>
      <c r="I66" s="21">
        <f t="shared" si="1"/>
        <v>125</v>
      </c>
      <c r="J66" s="69"/>
      <c r="K66" s="71"/>
    </row>
    <row r="67" spans="1:11" ht="15" x14ac:dyDescent="0.25">
      <c r="A67" s="28">
        <v>40977</v>
      </c>
      <c r="B67" s="192"/>
      <c r="C67" s="247" t="s">
        <v>317</v>
      </c>
      <c r="D67" s="248"/>
      <c r="E67" s="24">
        <f t="shared" si="2"/>
        <v>12796</v>
      </c>
      <c r="F67" s="27">
        <v>12895</v>
      </c>
      <c r="G67" s="26">
        <f t="shared" si="0"/>
        <v>99</v>
      </c>
      <c r="H67" s="192" t="s">
        <v>45</v>
      </c>
      <c r="I67" s="21">
        <f t="shared" si="1"/>
        <v>99</v>
      </c>
      <c r="J67" s="69">
        <v>12876</v>
      </c>
      <c r="K67" s="71">
        <v>25.31</v>
      </c>
    </row>
    <row r="68" spans="1:11" ht="15" x14ac:dyDescent="0.25">
      <c r="A68" s="28" t="s">
        <v>325</v>
      </c>
      <c r="B68" s="192"/>
      <c r="C68" s="247" t="s">
        <v>329</v>
      </c>
      <c r="D68" s="248"/>
      <c r="E68" s="24">
        <f t="shared" si="2"/>
        <v>12895</v>
      </c>
      <c r="F68" s="27">
        <v>13273</v>
      </c>
      <c r="G68" s="26">
        <f t="shared" si="0"/>
        <v>378</v>
      </c>
      <c r="H68" s="192" t="s">
        <v>45</v>
      </c>
      <c r="I68" s="21">
        <f t="shared" si="1"/>
        <v>378</v>
      </c>
      <c r="J68" s="69"/>
      <c r="K68" s="71"/>
    </row>
    <row r="69" spans="1:11" ht="15" x14ac:dyDescent="0.25">
      <c r="A69" s="28">
        <v>40980</v>
      </c>
      <c r="B69" s="192"/>
      <c r="C69" s="247" t="s">
        <v>317</v>
      </c>
      <c r="D69" s="248"/>
      <c r="E69" s="24">
        <f t="shared" si="2"/>
        <v>13273</v>
      </c>
      <c r="F69" s="27">
        <v>13357</v>
      </c>
      <c r="G69" s="26">
        <f t="shared" si="0"/>
        <v>84</v>
      </c>
      <c r="H69" s="192" t="s">
        <v>45</v>
      </c>
      <c r="I69" s="21">
        <f t="shared" si="1"/>
        <v>84</v>
      </c>
      <c r="J69" s="69"/>
      <c r="K69" s="71"/>
    </row>
    <row r="70" spans="1:11" ht="15" x14ac:dyDescent="0.25">
      <c r="A70" s="28" t="s">
        <v>326</v>
      </c>
      <c r="B70" s="192"/>
      <c r="C70" s="247" t="s">
        <v>318</v>
      </c>
      <c r="D70" s="248"/>
      <c r="E70" s="24">
        <f t="shared" si="2"/>
        <v>13357</v>
      </c>
      <c r="F70" s="23">
        <v>13455</v>
      </c>
      <c r="G70" s="22">
        <f t="shared" si="0"/>
        <v>98</v>
      </c>
      <c r="H70" s="192" t="s">
        <v>45</v>
      </c>
      <c r="I70" s="21">
        <f t="shared" si="1"/>
        <v>98</v>
      </c>
      <c r="J70" s="69"/>
      <c r="K70" s="71"/>
    </row>
    <row r="71" spans="1:11" ht="15" x14ac:dyDescent="0.25">
      <c r="A71" s="25">
        <v>40983</v>
      </c>
      <c r="B71" s="50"/>
      <c r="C71" s="247" t="s">
        <v>317</v>
      </c>
      <c r="D71" s="248"/>
      <c r="E71" s="24">
        <f t="shared" si="2"/>
        <v>13455</v>
      </c>
      <c r="F71" s="23">
        <v>13540</v>
      </c>
      <c r="G71" s="22">
        <f t="shared" si="0"/>
        <v>85</v>
      </c>
      <c r="H71" s="192" t="s">
        <v>45</v>
      </c>
      <c r="I71" s="21">
        <f t="shared" si="1"/>
        <v>85</v>
      </c>
      <c r="J71" s="69">
        <v>13537</v>
      </c>
      <c r="K71" s="71">
        <v>67.8</v>
      </c>
    </row>
    <row r="72" spans="1:11" ht="15" x14ac:dyDescent="0.25">
      <c r="A72" s="28">
        <v>40984</v>
      </c>
      <c r="B72" s="192"/>
      <c r="C72" s="247" t="s">
        <v>318</v>
      </c>
      <c r="D72" s="248"/>
      <c r="E72" s="24">
        <f>F71</f>
        <v>13540</v>
      </c>
      <c r="F72" s="27">
        <v>13631</v>
      </c>
      <c r="G72" s="26">
        <f t="shared" si="0"/>
        <v>91</v>
      </c>
      <c r="H72" s="192" t="s">
        <v>45</v>
      </c>
      <c r="I72" s="21">
        <f t="shared" si="1"/>
        <v>91</v>
      </c>
      <c r="J72" s="69"/>
      <c r="K72" s="71"/>
    </row>
    <row r="73" spans="1:11" ht="15" x14ac:dyDescent="0.25">
      <c r="A73" s="25">
        <v>40985</v>
      </c>
      <c r="B73" s="50"/>
      <c r="C73" s="234" t="s">
        <v>331</v>
      </c>
      <c r="D73" s="234"/>
      <c r="E73" s="24">
        <f t="shared" si="2"/>
        <v>13631</v>
      </c>
      <c r="F73" s="23">
        <v>13710</v>
      </c>
      <c r="G73" s="22">
        <f t="shared" si="0"/>
        <v>79</v>
      </c>
      <c r="H73" s="192" t="s">
        <v>45</v>
      </c>
      <c r="I73" s="21">
        <f t="shared" si="1"/>
        <v>79</v>
      </c>
      <c r="J73" s="69"/>
      <c r="K73" s="71"/>
    </row>
    <row r="74" spans="1:11" ht="15" x14ac:dyDescent="0.25">
      <c r="A74" s="28" t="s">
        <v>330</v>
      </c>
      <c r="B74" s="192"/>
      <c r="C74" s="234" t="s">
        <v>331</v>
      </c>
      <c r="D74" s="234"/>
      <c r="E74" s="24">
        <f t="shared" si="2"/>
        <v>13710</v>
      </c>
      <c r="F74" s="27">
        <v>13855</v>
      </c>
      <c r="G74" s="26">
        <f t="shared" si="0"/>
        <v>145</v>
      </c>
      <c r="H74" s="192" t="s">
        <v>45</v>
      </c>
      <c r="I74" s="21">
        <f t="shared" si="1"/>
        <v>145</v>
      </c>
      <c r="J74" s="69"/>
      <c r="K74" s="71"/>
    </row>
    <row r="75" spans="1:11" ht="15" x14ac:dyDescent="0.25">
      <c r="A75" s="28">
        <v>40988</v>
      </c>
      <c r="B75" s="192"/>
      <c r="C75" s="247" t="s">
        <v>317</v>
      </c>
      <c r="D75" s="248"/>
      <c r="E75" s="24">
        <f t="shared" si="2"/>
        <v>13855</v>
      </c>
      <c r="F75" s="27">
        <v>13954</v>
      </c>
      <c r="G75" s="26">
        <f t="shared" si="0"/>
        <v>99</v>
      </c>
      <c r="H75" s="192" t="s">
        <v>45</v>
      </c>
      <c r="I75" s="21">
        <f t="shared" si="1"/>
        <v>99</v>
      </c>
      <c r="J75" s="69"/>
      <c r="K75" s="71"/>
    </row>
    <row r="76" spans="1:11" ht="15" x14ac:dyDescent="0.25">
      <c r="A76" s="28">
        <v>40989</v>
      </c>
      <c r="B76" s="192"/>
      <c r="C76" s="247" t="s">
        <v>317</v>
      </c>
      <c r="D76" s="248"/>
      <c r="E76" s="24">
        <f t="shared" si="2"/>
        <v>13954</v>
      </c>
      <c r="F76" s="27">
        <v>14049</v>
      </c>
      <c r="G76" s="26">
        <f t="shared" si="0"/>
        <v>95</v>
      </c>
      <c r="H76" s="192" t="s">
        <v>45</v>
      </c>
      <c r="I76" s="21">
        <f t="shared" si="1"/>
        <v>95</v>
      </c>
      <c r="J76" s="69"/>
      <c r="K76" s="71"/>
    </row>
    <row r="77" spans="1:11" ht="15" x14ac:dyDescent="0.25">
      <c r="A77" s="28">
        <v>40990</v>
      </c>
      <c r="B77" s="192"/>
      <c r="C77" s="247" t="s">
        <v>317</v>
      </c>
      <c r="D77" s="248"/>
      <c r="E77" s="24">
        <f t="shared" si="2"/>
        <v>14049</v>
      </c>
      <c r="F77" s="27">
        <v>14151</v>
      </c>
      <c r="G77" s="26">
        <f t="shared" si="0"/>
        <v>102</v>
      </c>
      <c r="H77" s="192" t="s">
        <v>45</v>
      </c>
      <c r="I77" s="21">
        <f t="shared" si="1"/>
        <v>102</v>
      </c>
      <c r="J77" s="69"/>
      <c r="K77" s="71"/>
    </row>
    <row r="78" spans="1:11" ht="15" x14ac:dyDescent="0.25">
      <c r="A78" s="28">
        <v>40991</v>
      </c>
      <c r="B78" s="192"/>
      <c r="C78" s="247" t="s">
        <v>317</v>
      </c>
      <c r="D78" s="248"/>
      <c r="E78" s="24">
        <f t="shared" si="2"/>
        <v>14151</v>
      </c>
      <c r="F78" s="27">
        <v>14252</v>
      </c>
      <c r="G78" s="26">
        <f t="shared" si="0"/>
        <v>101</v>
      </c>
      <c r="H78" s="192" t="s">
        <v>45</v>
      </c>
      <c r="I78" s="21">
        <f t="shared" si="1"/>
        <v>101</v>
      </c>
      <c r="J78" s="69"/>
      <c r="K78" s="71"/>
    </row>
    <row r="79" spans="1:11" ht="15" x14ac:dyDescent="0.25">
      <c r="A79" s="25">
        <v>40992</v>
      </c>
      <c r="B79" s="50"/>
      <c r="C79" s="247" t="s">
        <v>332</v>
      </c>
      <c r="D79" s="248"/>
      <c r="E79" s="24">
        <f t="shared" si="2"/>
        <v>14252</v>
      </c>
      <c r="F79" s="23">
        <v>14626</v>
      </c>
      <c r="G79" s="22">
        <f t="shared" si="0"/>
        <v>374</v>
      </c>
      <c r="H79" s="192" t="s">
        <v>45</v>
      </c>
      <c r="I79" s="21">
        <f t="shared" si="1"/>
        <v>374</v>
      </c>
      <c r="J79" s="69"/>
      <c r="K79" s="71"/>
    </row>
    <row r="80" spans="1:11" ht="15" x14ac:dyDescent="0.25">
      <c r="A80" s="25">
        <v>40994</v>
      </c>
      <c r="B80" s="50"/>
      <c r="C80" s="247" t="s">
        <v>317</v>
      </c>
      <c r="D80" s="248"/>
      <c r="E80" s="24">
        <f t="shared" si="2"/>
        <v>14626</v>
      </c>
      <c r="F80" s="23">
        <v>14714</v>
      </c>
      <c r="G80" s="22">
        <f t="shared" si="0"/>
        <v>88</v>
      </c>
      <c r="H80" s="192" t="s">
        <v>45</v>
      </c>
      <c r="I80" s="21">
        <f t="shared" si="1"/>
        <v>88</v>
      </c>
      <c r="J80" s="69"/>
      <c r="K80" s="71"/>
    </row>
    <row r="81" spans="1:11" ht="15" x14ac:dyDescent="0.25">
      <c r="A81" s="28">
        <v>40995</v>
      </c>
      <c r="B81" s="192"/>
      <c r="C81" s="247" t="s">
        <v>317</v>
      </c>
      <c r="D81" s="248"/>
      <c r="E81" s="24">
        <f>F60</f>
        <v>12180</v>
      </c>
      <c r="F81" s="27">
        <v>14803</v>
      </c>
      <c r="G81" s="26">
        <f t="shared" si="0"/>
        <v>2623</v>
      </c>
      <c r="H81" s="192" t="s">
        <v>45</v>
      </c>
      <c r="I81" s="21">
        <f t="shared" si="1"/>
        <v>2623</v>
      </c>
      <c r="J81" s="69"/>
      <c r="K81" s="71"/>
    </row>
    <row r="82" spans="1:11" ht="15" x14ac:dyDescent="0.25">
      <c r="A82" s="28">
        <v>40996</v>
      </c>
      <c r="B82" s="192"/>
      <c r="C82" s="247" t="s">
        <v>317</v>
      </c>
      <c r="D82" s="248"/>
      <c r="E82" s="24">
        <f t="shared" si="2"/>
        <v>14803</v>
      </c>
      <c r="F82" s="27">
        <v>14910</v>
      </c>
      <c r="G82" s="26">
        <f t="shared" ref="G82:G139" si="3">F82-E82</f>
        <v>107</v>
      </c>
      <c r="H82" s="192" t="s">
        <v>45</v>
      </c>
      <c r="I82" s="21">
        <f t="shared" si="1"/>
        <v>107</v>
      </c>
      <c r="J82" s="69"/>
      <c r="K82" s="71"/>
    </row>
    <row r="83" spans="1:11" ht="15" x14ac:dyDescent="0.25">
      <c r="A83" s="28">
        <v>40997</v>
      </c>
      <c r="B83" s="192"/>
      <c r="C83" s="247" t="s">
        <v>333</v>
      </c>
      <c r="D83" s="248"/>
      <c r="E83" s="24">
        <f t="shared" si="2"/>
        <v>14910</v>
      </c>
      <c r="F83" s="27">
        <v>15000</v>
      </c>
      <c r="G83" s="26">
        <f t="shared" si="3"/>
        <v>90</v>
      </c>
      <c r="H83" s="192" t="s">
        <v>45</v>
      </c>
      <c r="I83" s="21">
        <f t="shared" si="1"/>
        <v>90</v>
      </c>
      <c r="J83" s="69"/>
      <c r="K83" s="71"/>
    </row>
    <row r="84" spans="1:11" ht="15" x14ac:dyDescent="0.25">
      <c r="A84" s="25">
        <v>40998</v>
      </c>
      <c r="B84" s="50"/>
      <c r="C84" s="247" t="s">
        <v>317</v>
      </c>
      <c r="D84" s="248"/>
      <c r="E84" s="24">
        <f t="shared" si="2"/>
        <v>15000</v>
      </c>
      <c r="F84" s="23">
        <v>15120</v>
      </c>
      <c r="G84" s="22">
        <f t="shared" si="3"/>
        <v>120</v>
      </c>
      <c r="H84" s="192" t="s">
        <v>45</v>
      </c>
      <c r="I84" s="21">
        <f t="shared" si="1"/>
        <v>120</v>
      </c>
      <c r="J84" s="69"/>
      <c r="K84" s="71"/>
    </row>
    <row r="85" spans="1:11" ht="15" x14ac:dyDescent="0.25">
      <c r="A85" s="28"/>
      <c r="B85" s="192"/>
      <c r="C85" s="234" t="s">
        <v>54</v>
      </c>
      <c r="D85" s="234"/>
      <c r="E85" s="24">
        <f t="shared" si="2"/>
        <v>15120</v>
      </c>
      <c r="F85" s="27"/>
      <c r="G85" s="26">
        <f t="shared" si="3"/>
        <v>-15120</v>
      </c>
      <c r="H85" s="192" t="s">
        <v>45</v>
      </c>
      <c r="I85" s="21">
        <f t="shared" si="1"/>
        <v>-15120</v>
      </c>
      <c r="J85" s="69"/>
      <c r="K85" s="71"/>
    </row>
    <row r="86" spans="1:11" ht="15" x14ac:dyDescent="0.25">
      <c r="A86" s="28"/>
      <c r="B86" s="192"/>
      <c r="C86" s="234" t="s">
        <v>54</v>
      </c>
      <c r="D86" s="234"/>
      <c r="E86" s="24">
        <f t="shared" si="2"/>
        <v>0</v>
      </c>
      <c r="F86" s="27"/>
      <c r="G86" s="26">
        <f t="shared" si="3"/>
        <v>0</v>
      </c>
      <c r="H86" s="192" t="s">
        <v>45</v>
      </c>
      <c r="I86" s="21">
        <f t="shared" si="1"/>
        <v>0</v>
      </c>
      <c r="J86" s="69"/>
      <c r="K86" s="71"/>
    </row>
    <row r="87" spans="1:11" ht="15" x14ac:dyDescent="0.25">
      <c r="A87" s="28"/>
      <c r="B87" s="192"/>
      <c r="C87" s="234" t="s">
        <v>54</v>
      </c>
      <c r="D87" s="234"/>
      <c r="E87" s="24">
        <f t="shared" si="2"/>
        <v>0</v>
      </c>
      <c r="F87" s="27"/>
      <c r="G87" s="26">
        <f t="shared" si="3"/>
        <v>0</v>
      </c>
      <c r="H87" s="192" t="s">
        <v>45</v>
      </c>
      <c r="I87" s="21">
        <f t="shared" si="1"/>
        <v>0</v>
      </c>
      <c r="J87" s="69"/>
      <c r="K87" s="71"/>
    </row>
    <row r="88" spans="1:11" ht="15" x14ac:dyDescent="0.25">
      <c r="A88" s="28"/>
      <c r="B88" s="192"/>
      <c r="C88" s="234" t="s">
        <v>54</v>
      </c>
      <c r="D88" s="234"/>
      <c r="E88" s="24">
        <f t="shared" si="2"/>
        <v>0</v>
      </c>
      <c r="F88" s="27"/>
      <c r="G88" s="26">
        <f t="shared" si="3"/>
        <v>0</v>
      </c>
      <c r="H88" s="192" t="s">
        <v>45</v>
      </c>
      <c r="I88" s="21">
        <f t="shared" si="1"/>
        <v>0</v>
      </c>
      <c r="J88" s="69"/>
      <c r="K88" s="71"/>
    </row>
    <row r="89" spans="1:11" ht="15" x14ac:dyDescent="0.25">
      <c r="A89" s="28"/>
      <c r="B89" s="192"/>
      <c r="C89" s="234" t="s">
        <v>54</v>
      </c>
      <c r="D89" s="234"/>
      <c r="E89" s="24">
        <f t="shared" si="2"/>
        <v>0</v>
      </c>
      <c r="F89" s="27"/>
      <c r="G89" s="26">
        <f t="shared" si="3"/>
        <v>0</v>
      </c>
      <c r="H89" s="192" t="s">
        <v>45</v>
      </c>
      <c r="I89" s="21">
        <f t="shared" si="1"/>
        <v>0</v>
      </c>
      <c r="J89" s="69"/>
      <c r="K89" s="71"/>
    </row>
    <row r="90" spans="1:11" ht="15" x14ac:dyDescent="0.25">
      <c r="A90" s="25"/>
      <c r="B90" s="50"/>
      <c r="C90" s="234" t="s">
        <v>54</v>
      </c>
      <c r="D90" s="234"/>
      <c r="E90" s="24">
        <f t="shared" si="2"/>
        <v>0</v>
      </c>
      <c r="F90" s="23"/>
      <c r="G90" s="22">
        <f t="shared" si="3"/>
        <v>0</v>
      </c>
      <c r="H90" s="192" t="s">
        <v>45</v>
      </c>
      <c r="I90" s="21">
        <f t="shared" si="1"/>
        <v>0</v>
      </c>
      <c r="J90" s="69"/>
      <c r="K90" s="71"/>
    </row>
    <row r="91" spans="1:11" ht="15" x14ac:dyDescent="0.25">
      <c r="A91" s="25"/>
      <c r="B91" s="50"/>
      <c r="C91" s="234" t="s">
        <v>54</v>
      </c>
      <c r="D91" s="234"/>
      <c r="E91" s="24">
        <f t="shared" si="2"/>
        <v>0</v>
      </c>
      <c r="F91" s="23"/>
      <c r="G91" s="22">
        <f t="shared" si="3"/>
        <v>0</v>
      </c>
      <c r="H91" s="192" t="s">
        <v>45</v>
      </c>
      <c r="I91" s="21">
        <f t="shared" si="1"/>
        <v>0</v>
      </c>
      <c r="J91" s="69"/>
      <c r="K91" s="71"/>
    </row>
    <row r="92" spans="1:11" ht="15" x14ac:dyDescent="0.25">
      <c r="A92" s="28"/>
      <c r="B92" s="192"/>
      <c r="C92" s="234" t="s">
        <v>54</v>
      </c>
      <c r="D92" s="234"/>
      <c r="E92" s="24">
        <f t="shared" si="2"/>
        <v>0</v>
      </c>
      <c r="F92" s="27"/>
      <c r="G92" s="26">
        <f t="shared" si="3"/>
        <v>0</v>
      </c>
      <c r="H92" s="192" t="s">
        <v>45</v>
      </c>
      <c r="I92" s="21">
        <f t="shared" ref="I92:I139" si="4">IF(H92="Business", G92, "0")</f>
        <v>0</v>
      </c>
      <c r="J92" s="69"/>
      <c r="K92" s="68"/>
    </row>
    <row r="93" spans="1:11" ht="14.45" customHeight="1" x14ac:dyDescent="0.25">
      <c r="A93" s="28"/>
      <c r="B93" s="192"/>
      <c r="C93" s="234" t="s">
        <v>54</v>
      </c>
      <c r="D93" s="234"/>
      <c r="E93" s="24">
        <f t="shared" ref="E93:E139" si="5">F92</f>
        <v>0</v>
      </c>
      <c r="F93" s="27"/>
      <c r="G93" s="26">
        <f t="shared" si="3"/>
        <v>0</v>
      </c>
      <c r="H93" s="192" t="s">
        <v>45</v>
      </c>
      <c r="I93" s="21">
        <f t="shared" si="4"/>
        <v>0</v>
      </c>
      <c r="J93" s="69"/>
      <c r="K93" s="68"/>
    </row>
    <row r="94" spans="1:11" ht="13.9" customHeight="1" x14ac:dyDescent="0.25">
      <c r="A94" s="28"/>
      <c r="B94" s="192"/>
      <c r="C94" s="234" t="s">
        <v>54</v>
      </c>
      <c r="D94" s="234"/>
      <c r="E94" s="24">
        <f t="shared" si="5"/>
        <v>0</v>
      </c>
      <c r="F94" s="27"/>
      <c r="G94" s="26">
        <f t="shared" si="3"/>
        <v>0</v>
      </c>
      <c r="H94" s="192" t="s">
        <v>45</v>
      </c>
      <c r="I94" s="21">
        <f t="shared" si="4"/>
        <v>0</v>
      </c>
      <c r="J94" s="69"/>
      <c r="K94" s="68"/>
    </row>
    <row r="95" spans="1:11" ht="15" x14ac:dyDescent="0.25">
      <c r="A95" s="28"/>
      <c r="B95" s="192"/>
      <c r="C95" s="234" t="s">
        <v>54</v>
      </c>
      <c r="D95" s="234"/>
      <c r="E95" s="24">
        <f t="shared" si="5"/>
        <v>0</v>
      </c>
      <c r="F95" s="27"/>
      <c r="G95" s="26">
        <f t="shared" si="3"/>
        <v>0</v>
      </c>
      <c r="H95" s="192" t="s">
        <v>45</v>
      </c>
      <c r="I95" s="21">
        <f t="shared" si="4"/>
        <v>0</v>
      </c>
      <c r="J95" s="69"/>
      <c r="K95" s="68"/>
    </row>
    <row r="96" spans="1:11" ht="15" x14ac:dyDescent="0.25">
      <c r="A96" s="28"/>
      <c r="B96" s="192"/>
      <c r="C96" s="234" t="s">
        <v>54</v>
      </c>
      <c r="D96" s="234"/>
      <c r="E96" s="24">
        <f t="shared" si="5"/>
        <v>0</v>
      </c>
      <c r="F96" s="27"/>
      <c r="G96" s="26">
        <f t="shared" si="3"/>
        <v>0</v>
      </c>
      <c r="H96" s="192" t="s">
        <v>45</v>
      </c>
      <c r="I96" s="21">
        <f t="shared" si="4"/>
        <v>0</v>
      </c>
      <c r="J96" s="69"/>
      <c r="K96" s="68"/>
    </row>
    <row r="97" spans="1:11" ht="15" x14ac:dyDescent="0.25">
      <c r="A97" s="28"/>
      <c r="B97" s="192"/>
      <c r="C97" s="234" t="s">
        <v>54</v>
      </c>
      <c r="D97" s="234"/>
      <c r="E97" s="24">
        <f t="shared" si="5"/>
        <v>0</v>
      </c>
      <c r="F97" s="27"/>
      <c r="G97" s="26">
        <f t="shared" si="3"/>
        <v>0</v>
      </c>
      <c r="H97" s="192" t="s">
        <v>45</v>
      </c>
      <c r="I97" s="21">
        <f t="shared" si="4"/>
        <v>0</v>
      </c>
      <c r="J97" s="69"/>
      <c r="K97" s="68"/>
    </row>
    <row r="98" spans="1:11" ht="15" x14ac:dyDescent="0.25">
      <c r="A98" s="28"/>
      <c r="B98" s="192"/>
      <c r="C98" s="234" t="s">
        <v>54</v>
      </c>
      <c r="D98" s="234"/>
      <c r="E98" s="24">
        <f t="shared" si="5"/>
        <v>0</v>
      </c>
      <c r="F98" s="27"/>
      <c r="G98" s="26">
        <f t="shared" si="3"/>
        <v>0</v>
      </c>
      <c r="H98" s="192" t="s">
        <v>45</v>
      </c>
      <c r="I98" s="21">
        <f t="shared" si="4"/>
        <v>0</v>
      </c>
      <c r="J98" s="69"/>
      <c r="K98" s="68"/>
    </row>
    <row r="99" spans="1:11" ht="15" x14ac:dyDescent="0.25">
      <c r="A99" s="28"/>
      <c r="B99" s="192"/>
      <c r="C99" s="234" t="s">
        <v>54</v>
      </c>
      <c r="D99" s="234"/>
      <c r="E99" s="24">
        <f t="shared" si="5"/>
        <v>0</v>
      </c>
      <c r="F99" s="27"/>
      <c r="G99" s="26">
        <f t="shared" si="3"/>
        <v>0</v>
      </c>
      <c r="H99" s="192" t="s">
        <v>45</v>
      </c>
      <c r="I99" s="21">
        <f t="shared" si="4"/>
        <v>0</v>
      </c>
      <c r="J99" s="69"/>
      <c r="K99" s="71"/>
    </row>
    <row r="100" spans="1:11" ht="15" x14ac:dyDescent="0.25">
      <c r="A100" s="28"/>
      <c r="B100" s="192"/>
      <c r="C100" s="234" t="s">
        <v>54</v>
      </c>
      <c r="D100" s="234"/>
      <c r="E100" s="24">
        <f t="shared" si="5"/>
        <v>0</v>
      </c>
      <c r="F100" s="27"/>
      <c r="G100" s="26">
        <f t="shared" si="3"/>
        <v>0</v>
      </c>
      <c r="H100" s="192" t="s">
        <v>45</v>
      </c>
      <c r="I100" s="21">
        <f t="shared" si="4"/>
        <v>0</v>
      </c>
      <c r="J100" s="69"/>
      <c r="K100" s="71"/>
    </row>
    <row r="101" spans="1:11" ht="15" x14ac:dyDescent="0.25">
      <c r="A101" s="28"/>
      <c r="B101" s="192"/>
      <c r="C101" s="234" t="s">
        <v>54</v>
      </c>
      <c r="D101" s="234"/>
      <c r="E101" s="24">
        <f t="shared" si="5"/>
        <v>0</v>
      </c>
      <c r="F101" s="27"/>
      <c r="G101" s="26">
        <f t="shared" si="3"/>
        <v>0</v>
      </c>
      <c r="H101" s="192" t="s">
        <v>45</v>
      </c>
      <c r="I101" s="21">
        <f t="shared" si="4"/>
        <v>0</v>
      </c>
      <c r="J101" s="69"/>
      <c r="K101" s="71"/>
    </row>
    <row r="102" spans="1:11" ht="15" x14ac:dyDescent="0.25">
      <c r="A102" s="28"/>
      <c r="B102" s="192"/>
      <c r="C102" s="234" t="s">
        <v>54</v>
      </c>
      <c r="D102" s="234"/>
      <c r="E102" s="24">
        <f t="shared" si="5"/>
        <v>0</v>
      </c>
      <c r="F102" s="27"/>
      <c r="G102" s="26">
        <f t="shared" si="3"/>
        <v>0</v>
      </c>
      <c r="H102" s="192" t="s">
        <v>45</v>
      </c>
      <c r="I102" s="21">
        <f t="shared" si="4"/>
        <v>0</v>
      </c>
      <c r="J102" s="69"/>
      <c r="K102" s="71"/>
    </row>
    <row r="103" spans="1:11" ht="15" x14ac:dyDescent="0.25">
      <c r="A103" s="25"/>
      <c r="B103" s="50"/>
      <c r="C103" s="234" t="s">
        <v>54</v>
      </c>
      <c r="D103" s="234"/>
      <c r="E103" s="24">
        <f t="shared" si="5"/>
        <v>0</v>
      </c>
      <c r="F103" s="23"/>
      <c r="G103" s="22">
        <f t="shared" si="3"/>
        <v>0</v>
      </c>
      <c r="H103" s="192" t="s">
        <v>45</v>
      </c>
      <c r="I103" s="21">
        <f t="shared" si="4"/>
        <v>0</v>
      </c>
      <c r="J103" s="69"/>
      <c r="K103" s="71"/>
    </row>
    <row r="104" spans="1:11" ht="15" x14ac:dyDescent="0.25">
      <c r="A104" s="28"/>
      <c r="B104" s="192"/>
      <c r="C104" s="234" t="s">
        <v>54</v>
      </c>
      <c r="D104" s="234"/>
      <c r="E104" s="24">
        <f t="shared" si="5"/>
        <v>0</v>
      </c>
      <c r="F104" s="27"/>
      <c r="G104" s="26">
        <f t="shared" si="3"/>
        <v>0</v>
      </c>
      <c r="H104" s="192" t="s">
        <v>45</v>
      </c>
      <c r="I104" s="21">
        <f t="shared" si="4"/>
        <v>0</v>
      </c>
      <c r="J104" s="69"/>
      <c r="K104" s="71"/>
    </row>
    <row r="105" spans="1:11" ht="15" x14ac:dyDescent="0.25">
      <c r="A105" s="28"/>
      <c r="B105" s="192"/>
      <c r="C105" s="234" t="s">
        <v>54</v>
      </c>
      <c r="D105" s="234"/>
      <c r="E105" s="24">
        <f t="shared" si="5"/>
        <v>0</v>
      </c>
      <c r="F105" s="27"/>
      <c r="G105" s="26">
        <f t="shared" si="3"/>
        <v>0</v>
      </c>
      <c r="H105" s="192" t="s">
        <v>45</v>
      </c>
      <c r="I105" s="21">
        <f t="shared" si="4"/>
        <v>0</v>
      </c>
      <c r="J105" s="69"/>
      <c r="K105" s="71"/>
    </row>
    <row r="106" spans="1:11" ht="15" x14ac:dyDescent="0.25">
      <c r="A106" s="28"/>
      <c r="B106" s="192"/>
      <c r="C106" s="234" t="s">
        <v>54</v>
      </c>
      <c r="D106" s="234"/>
      <c r="E106" s="24">
        <f t="shared" si="5"/>
        <v>0</v>
      </c>
      <c r="F106" s="27"/>
      <c r="G106" s="26">
        <f t="shared" si="3"/>
        <v>0</v>
      </c>
      <c r="H106" s="192" t="s">
        <v>45</v>
      </c>
      <c r="I106" s="21">
        <f t="shared" si="4"/>
        <v>0</v>
      </c>
      <c r="J106" s="69"/>
      <c r="K106" s="71"/>
    </row>
    <row r="107" spans="1:11" ht="15" x14ac:dyDescent="0.25">
      <c r="A107" s="28"/>
      <c r="B107" s="192"/>
      <c r="C107" s="234" t="s">
        <v>54</v>
      </c>
      <c r="D107" s="234"/>
      <c r="E107" s="24">
        <f t="shared" si="5"/>
        <v>0</v>
      </c>
      <c r="F107" s="27"/>
      <c r="G107" s="26">
        <f t="shared" si="3"/>
        <v>0</v>
      </c>
      <c r="H107" s="192" t="s">
        <v>45</v>
      </c>
      <c r="I107" s="21">
        <f t="shared" si="4"/>
        <v>0</v>
      </c>
      <c r="J107" s="69"/>
      <c r="K107" s="71"/>
    </row>
    <row r="108" spans="1:11" ht="15" x14ac:dyDescent="0.25">
      <c r="A108" s="28"/>
      <c r="B108" s="192"/>
      <c r="C108" s="234" t="s">
        <v>54</v>
      </c>
      <c r="D108" s="234"/>
      <c r="E108" s="24">
        <f t="shared" si="5"/>
        <v>0</v>
      </c>
      <c r="F108" s="27"/>
      <c r="G108" s="26">
        <f t="shared" si="3"/>
        <v>0</v>
      </c>
      <c r="H108" s="192" t="s">
        <v>45</v>
      </c>
      <c r="I108" s="21">
        <f t="shared" si="4"/>
        <v>0</v>
      </c>
      <c r="J108" s="69"/>
      <c r="K108" s="71"/>
    </row>
    <row r="109" spans="1:11" ht="15" x14ac:dyDescent="0.25">
      <c r="A109" s="25"/>
      <c r="B109" s="50"/>
      <c r="C109" s="234" t="s">
        <v>54</v>
      </c>
      <c r="D109" s="234"/>
      <c r="E109" s="24">
        <f t="shared" si="5"/>
        <v>0</v>
      </c>
      <c r="F109" s="23"/>
      <c r="G109" s="22">
        <f t="shared" si="3"/>
        <v>0</v>
      </c>
      <c r="H109" s="192" t="s">
        <v>45</v>
      </c>
      <c r="I109" s="21">
        <f t="shared" si="4"/>
        <v>0</v>
      </c>
      <c r="J109" s="69"/>
      <c r="K109" s="71"/>
    </row>
    <row r="110" spans="1:11" ht="15" x14ac:dyDescent="0.25">
      <c r="A110" s="25"/>
      <c r="B110" s="50"/>
      <c r="C110" s="234" t="s">
        <v>54</v>
      </c>
      <c r="D110" s="234"/>
      <c r="E110" s="24">
        <f t="shared" si="5"/>
        <v>0</v>
      </c>
      <c r="F110" s="23"/>
      <c r="G110" s="22">
        <f t="shared" si="3"/>
        <v>0</v>
      </c>
      <c r="H110" s="192" t="s">
        <v>45</v>
      </c>
      <c r="I110" s="21">
        <f t="shared" si="4"/>
        <v>0</v>
      </c>
      <c r="J110" s="69"/>
      <c r="K110" s="71"/>
    </row>
    <row r="111" spans="1:11" ht="15" x14ac:dyDescent="0.25">
      <c r="A111" s="28"/>
      <c r="B111" s="192"/>
      <c r="C111" s="234" t="s">
        <v>54</v>
      </c>
      <c r="D111" s="234"/>
      <c r="E111" s="24">
        <f>F100</f>
        <v>0</v>
      </c>
      <c r="F111" s="27"/>
      <c r="G111" s="26">
        <f t="shared" si="3"/>
        <v>0</v>
      </c>
      <c r="H111" s="192" t="s">
        <v>45</v>
      </c>
      <c r="I111" s="21">
        <f t="shared" si="4"/>
        <v>0</v>
      </c>
      <c r="J111" s="69"/>
      <c r="K111" s="71"/>
    </row>
    <row r="112" spans="1:11" ht="15" x14ac:dyDescent="0.25">
      <c r="A112" s="25"/>
      <c r="B112" s="50"/>
      <c r="C112" s="234" t="s">
        <v>54</v>
      </c>
      <c r="D112" s="234"/>
      <c r="E112" s="24">
        <f t="shared" ref="E112:E119" si="6">F111</f>
        <v>0</v>
      </c>
      <c r="F112" s="23"/>
      <c r="G112" s="22">
        <f t="shared" si="3"/>
        <v>0</v>
      </c>
      <c r="H112" s="192" t="s">
        <v>45</v>
      </c>
      <c r="I112" s="21">
        <f t="shared" si="4"/>
        <v>0</v>
      </c>
      <c r="J112" s="69"/>
      <c r="K112" s="71"/>
    </row>
    <row r="113" spans="1:11" ht="15" x14ac:dyDescent="0.25">
      <c r="A113" s="28"/>
      <c r="B113" s="192"/>
      <c r="C113" s="234" t="s">
        <v>54</v>
      </c>
      <c r="D113" s="234"/>
      <c r="E113" s="24">
        <f t="shared" si="6"/>
        <v>0</v>
      </c>
      <c r="F113" s="27"/>
      <c r="G113" s="26">
        <f t="shared" si="3"/>
        <v>0</v>
      </c>
      <c r="H113" s="192" t="s">
        <v>45</v>
      </c>
      <c r="I113" s="21">
        <f t="shared" si="4"/>
        <v>0</v>
      </c>
      <c r="J113" s="69"/>
      <c r="K113" s="71"/>
    </row>
    <row r="114" spans="1:11" ht="15" x14ac:dyDescent="0.25">
      <c r="A114" s="28"/>
      <c r="B114" s="192"/>
      <c r="C114" s="234" t="s">
        <v>54</v>
      </c>
      <c r="D114" s="234"/>
      <c r="E114" s="24">
        <f t="shared" si="6"/>
        <v>0</v>
      </c>
      <c r="F114" s="27"/>
      <c r="G114" s="26">
        <f t="shared" si="3"/>
        <v>0</v>
      </c>
      <c r="H114" s="192" t="s">
        <v>45</v>
      </c>
      <c r="I114" s="21">
        <f t="shared" si="4"/>
        <v>0</v>
      </c>
      <c r="J114" s="69"/>
      <c r="K114" s="71"/>
    </row>
    <row r="115" spans="1:11" ht="15" x14ac:dyDescent="0.25">
      <c r="A115" s="28"/>
      <c r="B115" s="192"/>
      <c r="C115" s="234" t="s">
        <v>54</v>
      </c>
      <c r="D115" s="234"/>
      <c r="E115" s="24">
        <f t="shared" si="6"/>
        <v>0</v>
      </c>
      <c r="F115" s="27"/>
      <c r="G115" s="26">
        <f t="shared" si="3"/>
        <v>0</v>
      </c>
      <c r="H115" s="192" t="s">
        <v>45</v>
      </c>
      <c r="I115" s="21">
        <f t="shared" si="4"/>
        <v>0</v>
      </c>
      <c r="J115" s="69"/>
      <c r="K115" s="71"/>
    </row>
    <row r="116" spans="1:11" ht="15" x14ac:dyDescent="0.25">
      <c r="A116" s="28"/>
      <c r="B116" s="192"/>
      <c r="C116" s="234" t="s">
        <v>54</v>
      </c>
      <c r="D116" s="234"/>
      <c r="E116" s="24">
        <f t="shared" si="6"/>
        <v>0</v>
      </c>
      <c r="F116" s="27"/>
      <c r="G116" s="26">
        <f t="shared" si="3"/>
        <v>0</v>
      </c>
      <c r="H116" s="192" t="s">
        <v>45</v>
      </c>
      <c r="I116" s="21">
        <f t="shared" si="4"/>
        <v>0</v>
      </c>
      <c r="J116" s="69"/>
      <c r="K116" s="71"/>
    </row>
    <row r="117" spans="1:11" ht="15" x14ac:dyDescent="0.25">
      <c r="A117" s="28"/>
      <c r="B117" s="192"/>
      <c r="C117" s="234" t="s">
        <v>54</v>
      </c>
      <c r="D117" s="234"/>
      <c r="E117" s="24">
        <f t="shared" si="6"/>
        <v>0</v>
      </c>
      <c r="F117" s="27"/>
      <c r="G117" s="26">
        <f t="shared" si="3"/>
        <v>0</v>
      </c>
      <c r="H117" s="192" t="s">
        <v>45</v>
      </c>
      <c r="I117" s="21">
        <f t="shared" si="4"/>
        <v>0</v>
      </c>
      <c r="J117" s="69"/>
      <c r="K117" s="71"/>
    </row>
    <row r="118" spans="1:11" ht="15" x14ac:dyDescent="0.25">
      <c r="A118" s="25"/>
      <c r="B118" s="50"/>
      <c r="C118" s="234" t="s">
        <v>54</v>
      </c>
      <c r="D118" s="234"/>
      <c r="E118" s="24">
        <f t="shared" si="6"/>
        <v>0</v>
      </c>
      <c r="F118" s="23"/>
      <c r="G118" s="22">
        <f t="shared" si="3"/>
        <v>0</v>
      </c>
      <c r="H118" s="192" t="s">
        <v>45</v>
      </c>
      <c r="I118" s="21">
        <f t="shared" si="4"/>
        <v>0</v>
      </c>
      <c r="J118" s="69"/>
      <c r="K118" s="71"/>
    </row>
    <row r="119" spans="1:11" ht="15" x14ac:dyDescent="0.25">
      <c r="A119" s="25"/>
      <c r="B119" s="50"/>
      <c r="C119" s="234" t="s">
        <v>54</v>
      </c>
      <c r="D119" s="234"/>
      <c r="E119" s="24">
        <f t="shared" si="6"/>
        <v>0</v>
      </c>
      <c r="F119" s="23"/>
      <c r="G119" s="22">
        <f t="shared" si="3"/>
        <v>0</v>
      </c>
      <c r="H119" s="192" t="s">
        <v>45</v>
      </c>
      <c r="I119" s="21">
        <f t="shared" si="4"/>
        <v>0</v>
      </c>
      <c r="J119" s="69"/>
      <c r="K119" s="71"/>
    </row>
    <row r="120" spans="1:11" ht="15" x14ac:dyDescent="0.25">
      <c r="A120" s="28"/>
      <c r="B120" s="192"/>
      <c r="C120" s="234" t="s">
        <v>54</v>
      </c>
      <c r="D120" s="234"/>
      <c r="E120" s="24">
        <f>F99</f>
        <v>0</v>
      </c>
      <c r="F120" s="27"/>
      <c r="G120" s="26">
        <f t="shared" si="3"/>
        <v>0</v>
      </c>
      <c r="H120" s="192" t="s">
        <v>45</v>
      </c>
      <c r="I120" s="21">
        <f t="shared" si="4"/>
        <v>0</v>
      </c>
      <c r="J120" s="69"/>
      <c r="K120" s="71"/>
    </row>
    <row r="121" spans="1:11" ht="15" x14ac:dyDescent="0.25">
      <c r="A121" s="28"/>
      <c r="B121" s="192"/>
      <c r="C121" s="234" t="s">
        <v>54</v>
      </c>
      <c r="D121" s="234"/>
      <c r="E121" s="24">
        <f t="shared" ref="E121:E137" si="7">F120</f>
        <v>0</v>
      </c>
      <c r="F121" s="27"/>
      <c r="G121" s="26">
        <f t="shared" si="3"/>
        <v>0</v>
      </c>
      <c r="H121" s="192" t="s">
        <v>45</v>
      </c>
      <c r="I121" s="21">
        <f t="shared" si="4"/>
        <v>0</v>
      </c>
      <c r="J121" s="69"/>
      <c r="K121" s="71"/>
    </row>
    <row r="122" spans="1:11" ht="15" x14ac:dyDescent="0.25">
      <c r="A122" s="28"/>
      <c r="B122" s="192"/>
      <c r="C122" s="234" t="s">
        <v>54</v>
      </c>
      <c r="D122" s="234"/>
      <c r="E122" s="24">
        <f t="shared" si="7"/>
        <v>0</v>
      </c>
      <c r="F122" s="27"/>
      <c r="G122" s="26">
        <f t="shared" si="3"/>
        <v>0</v>
      </c>
      <c r="H122" s="192" t="s">
        <v>45</v>
      </c>
      <c r="I122" s="21">
        <f t="shared" si="4"/>
        <v>0</v>
      </c>
      <c r="J122" s="69"/>
      <c r="K122" s="71"/>
    </row>
    <row r="123" spans="1:11" ht="15" x14ac:dyDescent="0.25">
      <c r="A123" s="25"/>
      <c r="B123" s="50"/>
      <c r="C123" s="234" t="s">
        <v>54</v>
      </c>
      <c r="D123" s="234"/>
      <c r="E123" s="24">
        <f t="shared" si="7"/>
        <v>0</v>
      </c>
      <c r="F123" s="23"/>
      <c r="G123" s="22">
        <f t="shared" si="3"/>
        <v>0</v>
      </c>
      <c r="H123" s="192" t="s">
        <v>45</v>
      </c>
      <c r="I123" s="21">
        <f t="shared" si="4"/>
        <v>0</v>
      </c>
      <c r="J123" s="69"/>
      <c r="K123" s="71"/>
    </row>
    <row r="124" spans="1:11" ht="15" x14ac:dyDescent="0.25">
      <c r="A124" s="28"/>
      <c r="B124" s="192"/>
      <c r="C124" s="234" t="s">
        <v>54</v>
      </c>
      <c r="D124" s="234"/>
      <c r="E124" s="24">
        <f t="shared" si="7"/>
        <v>0</v>
      </c>
      <c r="F124" s="27"/>
      <c r="G124" s="26">
        <f t="shared" si="3"/>
        <v>0</v>
      </c>
      <c r="H124" s="192" t="s">
        <v>45</v>
      </c>
      <c r="I124" s="21">
        <f t="shared" si="4"/>
        <v>0</v>
      </c>
      <c r="J124" s="69"/>
      <c r="K124" s="71"/>
    </row>
    <row r="125" spans="1:11" ht="15" x14ac:dyDescent="0.25">
      <c r="A125" s="28"/>
      <c r="B125" s="192"/>
      <c r="C125" s="234" t="s">
        <v>54</v>
      </c>
      <c r="D125" s="234"/>
      <c r="E125" s="24">
        <f t="shared" si="7"/>
        <v>0</v>
      </c>
      <c r="F125" s="27"/>
      <c r="G125" s="26">
        <f t="shared" si="3"/>
        <v>0</v>
      </c>
      <c r="H125" s="192" t="s">
        <v>45</v>
      </c>
      <c r="I125" s="21">
        <f t="shared" si="4"/>
        <v>0</v>
      </c>
      <c r="J125" s="69"/>
      <c r="K125" s="71"/>
    </row>
    <row r="126" spans="1:11" ht="15" x14ac:dyDescent="0.25">
      <c r="A126" s="28"/>
      <c r="B126" s="192"/>
      <c r="C126" s="234" t="s">
        <v>54</v>
      </c>
      <c r="D126" s="234"/>
      <c r="E126" s="24">
        <f t="shared" si="7"/>
        <v>0</v>
      </c>
      <c r="F126" s="27"/>
      <c r="G126" s="26">
        <f t="shared" si="3"/>
        <v>0</v>
      </c>
      <c r="H126" s="192" t="s">
        <v>45</v>
      </c>
      <c r="I126" s="21">
        <f t="shared" si="4"/>
        <v>0</v>
      </c>
      <c r="J126" s="69"/>
      <c r="K126" s="71"/>
    </row>
    <row r="127" spans="1:11" ht="15" x14ac:dyDescent="0.25">
      <c r="A127" s="28"/>
      <c r="B127" s="192"/>
      <c r="C127" s="234" t="s">
        <v>54</v>
      </c>
      <c r="D127" s="234"/>
      <c r="E127" s="24">
        <f t="shared" si="7"/>
        <v>0</v>
      </c>
      <c r="F127" s="27"/>
      <c r="G127" s="26">
        <f t="shared" si="3"/>
        <v>0</v>
      </c>
      <c r="H127" s="192" t="s">
        <v>45</v>
      </c>
      <c r="I127" s="21">
        <f t="shared" si="4"/>
        <v>0</v>
      </c>
      <c r="J127" s="69"/>
      <c r="K127" s="71"/>
    </row>
    <row r="128" spans="1:11" ht="15" x14ac:dyDescent="0.25">
      <c r="A128" s="28"/>
      <c r="B128" s="192"/>
      <c r="C128" s="234" t="s">
        <v>54</v>
      </c>
      <c r="D128" s="234"/>
      <c r="E128" s="24">
        <f t="shared" si="7"/>
        <v>0</v>
      </c>
      <c r="F128" s="27"/>
      <c r="G128" s="26">
        <f t="shared" si="3"/>
        <v>0</v>
      </c>
      <c r="H128" s="192" t="s">
        <v>45</v>
      </c>
      <c r="I128" s="21">
        <f t="shared" si="4"/>
        <v>0</v>
      </c>
      <c r="J128" s="69"/>
      <c r="K128" s="71"/>
    </row>
    <row r="129" spans="1:11" ht="15" x14ac:dyDescent="0.25">
      <c r="A129" s="25"/>
      <c r="B129" s="50"/>
      <c r="C129" s="234" t="s">
        <v>54</v>
      </c>
      <c r="D129" s="234"/>
      <c r="E129" s="24">
        <f t="shared" si="7"/>
        <v>0</v>
      </c>
      <c r="F129" s="23"/>
      <c r="G129" s="22">
        <f t="shared" si="3"/>
        <v>0</v>
      </c>
      <c r="H129" s="192" t="s">
        <v>45</v>
      </c>
      <c r="I129" s="21">
        <f t="shared" si="4"/>
        <v>0</v>
      </c>
      <c r="J129" s="69"/>
      <c r="K129" s="71"/>
    </row>
    <row r="130" spans="1:11" ht="15" x14ac:dyDescent="0.25">
      <c r="A130" s="25"/>
      <c r="B130" s="50"/>
      <c r="C130" s="234" t="s">
        <v>54</v>
      </c>
      <c r="D130" s="234"/>
      <c r="E130" s="24">
        <f t="shared" si="7"/>
        <v>0</v>
      </c>
      <c r="F130" s="23"/>
      <c r="G130" s="22">
        <f t="shared" si="3"/>
        <v>0</v>
      </c>
      <c r="H130" s="192" t="s">
        <v>45</v>
      </c>
      <c r="I130" s="21">
        <f t="shared" si="4"/>
        <v>0</v>
      </c>
      <c r="J130" s="69"/>
      <c r="K130" s="71"/>
    </row>
    <row r="131" spans="1:11" ht="15" x14ac:dyDescent="0.25">
      <c r="A131" s="28"/>
      <c r="B131" s="192"/>
      <c r="C131" s="234" t="s">
        <v>54</v>
      </c>
      <c r="D131" s="234"/>
      <c r="E131" s="24">
        <f t="shared" si="7"/>
        <v>0</v>
      </c>
      <c r="F131" s="27"/>
      <c r="G131" s="26">
        <f t="shared" si="3"/>
        <v>0</v>
      </c>
      <c r="H131" s="192" t="s">
        <v>45</v>
      </c>
      <c r="I131" s="21">
        <f t="shared" si="4"/>
        <v>0</v>
      </c>
      <c r="J131" s="69"/>
      <c r="K131" s="68"/>
    </row>
    <row r="132" spans="1:11" ht="15" x14ac:dyDescent="0.25">
      <c r="A132" s="28"/>
      <c r="B132" s="192"/>
      <c r="C132" s="234" t="s">
        <v>54</v>
      </c>
      <c r="D132" s="234"/>
      <c r="E132" s="24">
        <f t="shared" si="7"/>
        <v>0</v>
      </c>
      <c r="F132" s="27"/>
      <c r="G132" s="26">
        <f t="shared" si="3"/>
        <v>0</v>
      </c>
      <c r="H132" s="192" t="s">
        <v>45</v>
      </c>
      <c r="I132" s="21">
        <f t="shared" si="4"/>
        <v>0</v>
      </c>
      <c r="J132" s="69"/>
      <c r="K132" s="68"/>
    </row>
    <row r="133" spans="1:11" ht="15" x14ac:dyDescent="0.25">
      <c r="A133" s="28"/>
      <c r="B133" s="192"/>
      <c r="C133" s="234" t="s">
        <v>54</v>
      </c>
      <c r="D133" s="234"/>
      <c r="E133" s="24">
        <f t="shared" si="7"/>
        <v>0</v>
      </c>
      <c r="F133" s="27"/>
      <c r="G133" s="26">
        <f t="shared" si="3"/>
        <v>0</v>
      </c>
      <c r="H133" s="192" t="s">
        <v>45</v>
      </c>
      <c r="I133" s="21">
        <f t="shared" si="4"/>
        <v>0</v>
      </c>
      <c r="J133" s="69"/>
      <c r="K133" s="68"/>
    </row>
    <row r="134" spans="1:11" ht="15" x14ac:dyDescent="0.25">
      <c r="A134" s="28"/>
      <c r="B134" s="192"/>
      <c r="C134" s="234" t="s">
        <v>54</v>
      </c>
      <c r="D134" s="234"/>
      <c r="E134" s="24">
        <f t="shared" si="7"/>
        <v>0</v>
      </c>
      <c r="F134" s="27"/>
      <c r="G134" s="26">
        <f t="shared" si="3"/>
        <v>0</v>
      </c>
      <c r="H134" s="192" t="s">
        <v>45</v>
      </c>
      <c r="I134" s="21">
        <f t="shared" si="4"/>
        <v>0</v>
      </c>
      <c r="J134" s="69"/>
      <c r="K134" s="68"/>
    </row>
    <row r="135" spans="1:11" ht="15" x14ac:dyDescent="0.25">
      <c r="A135" s="28"/>
      <c r="B135" s="192"/>
      <c r="C135" s="234" t="s">
        <v>54</v>
      </c>
      <c r="D135" s="234"/>
      <c r="E135" s="24">
        <f t="shared" si="7"/>
        <v>0</v>
      </c>
      <c r="F135" s="27"/>
      <c r="G135" s="26">
        <f t="shared" si="3"/>
        <v>0</v>
      </c>
      <c r="H135" s="192" t="s">
        <v>45</v>
      </c>
      <c r="I135" s="21">
        <f t="shared" si="4"/>
        <v>0</v>
      </c>
      <c r="J135" s="69"/>
      <c r="K135" s="68"/>
    </row>
    <row r="136" spans="1:11" ht="15" x14ac:dyDescent="0.25">
      <c r="A136" s="28"/>
      <c r="B136" s="192"/>
      <c r="C136" s="234" t="s">
        <v>54</v>
      </c>
      <c r="D136" s="234"/>
      <c r="E136" s="24">
        <f t="shared" si="7"/>
        <v>0</v>
      </c>
      <c r="F136" s="27"/>
      <c r="G136" s="26">
        <f t="shared" si="3"/>
        <v>0</v>
      </c>
      <c r="H136" s="192" t="s">
        <v>45</v>
      </c>
      <c r="I136" s="21">
        <f t="shared" si="4"/>
        <v>0</v>
      </c>
      <c r="J136" s="69"/>
      <c r="K136" s="68"/>
    </row>
    <row r="137" spans="1:11" ht="15" x14ac:dyDescent="0.25">
      <c r="A137" s="28"/>
      <c r="B137" s="192"/>
      <c r="C137" s="234" t="s">
        <v>54</v>
      </c>
      <c r="D137" s="234"/>
      <c r="E137" s="24">
        <f t="shared" si="7"/>
        <v>0</v>
      </c>
      <c r="F137" s="27"/>
      <c r="G137" s="26">
        <f t="shared" si="3"/>
        <v>0</v>
      </c>
      <c r="H137" s="192" t="s">
        <v>45</v>
      </c>
      <c r="I137" s="21">
        <f t="shared" si="4"/>
        <v>0</v>
      </c>
      <c r="J137" s="69"/>
      <c r="K137" s="68"/>
    </row>
    <row r="138" spans="1:11" ht="15" x14ac:dyDescent="0.25">
      <c r="A138" s="28"/>
      <c r="B138" s="192"/>
      <c r="C138" s="234" t="s">
        <v>54</v>
      </c>
      <c r="D138" s="234"/>
      <c r="E138" s="24">
        <f>F98</f>
        <v>0</v>
      </c>
      <c r="F138" s="27"/>
      <c r="G138" s="26">
        <f t="shared" si="3"/>
        <v>0</v>
      </c>
      <c r="H138" s="192" t="s">
        <v>45</v>
      </c>
      <c r="I138" s="21">
        <f t="shared" si="4"/>
        <v>0</v>
      </c>
      <c r="J138" s="69"/>
      <c r="K138" s="68"/>
    </row>
    <row r="139" spans="1:11" ht="15.75" thickBot="1" x14ac:dyDescent="0.3">
      <c r="A139" s="25"/>
      <c r="B139" s="50"/>
      <c r="C139" s="234" t="s">
        <v>54</v>
      </c>
      <c r="D139" s="234"/>
      <c r="E139" s="24">
        <f t="shared" si="5"/>
        <v>0</v>
      </c>
      <c r="F139" s="23"/>
      <c r="G139" s="22">
        <f t="shared" si="3"/>
        <v>0</v>
      </c>
      <c r="H139" s="192" t="s">
        <v>45</v>
      </c>
      <c r="I139" s="21">
        <f t="shared" si="4"/>
        <v>0</v>
      </c>
      <c r="J139" s="69"/>
      <c r="K139" s="68"/>
    </row>
    <row r="140" spans="1:11" ht="26.25" thickBot="1" x14ac:dyDescent="0.25">
      <c r="A140" s="235"/>
      <c r="B140" s="235"/>
      <c r="C140" s="235"/>
      <c r="D140" s="235"/>
      <c r="E140" s="18"/>
      <c r="F140" s="20" t="s">
        <v>44</v>
      </c>
      <c r="G140" s="19">
        <f>SUM(G17:G139)</f>
        <v>-4266</v>
      </c>
      <c r="H140" s="18"/>
      <c r="I140" s="17">
        <f>SUM(I17:I139)</f>
        <v>-4266</v>
      </c>
      <c r="K140" s="6">
        <f>SUM(K17:K139)</f>
        <v>824.58999999999992</v>
      </c>
    </row>
    <row r="141" spans="1:11" x14ac:dyDescent="0.2">
      <c r="A141" s="235"/>
      <c r="B141" s="235"/>
      <c r="C141" s="235"/>
      <c r="D141" s="235"/>
      <c r="E141" s="238"/>
      <c r="F141" s="239"/>
      <c r="G141" s="239"/>
      <c r="H141" s="240"/>
      <c r="I141" s="241"/>
      <c r="K141" s="191"/>
    </row>
    <row r="142" spans="1:11" ht="15" x14ac:dyDescent="0.25">
      <c r="A142" s="235"/>
      <c r="B142" s="235"/>
      <c r="C142" s="235"/>
      <c r="D142" s="235"/>
      <c r="E142" s="242" t="s">
        <v>43</v>
      </c>
      <c r="F142" s="243"/>
      <c r="G142" s="16">
        <f>(I140/G140)</f>
        <v>1</v>
      </c>
      <c r="H142" s="193"/>
      <c r="I142" s="15"/>
      <c r="K142" s="191"/>
    </row>
    <row r="143" spans="1:11" ht="14.45" customHeight="1" thickBot="1" x14ac:dyDescent="0.25">
      <c r="A143" s="235"/>
      <c r="B143" s="235"/>
      <c r="C143" s="235"/>
      <c r="D143" s="235"/>
      <c r="E143" s="244" t="s">
        <v>42</v>
      </c>
      <c r="F143" s="245"/>
      <c r="G143" s="245"/>
      <c r="H143" s="245"/>
      <c r="I143" s="246"/>
      <c r="K143" s="191"/>
    </row>
    <row r="144" spans="1:11" ht="13.9" customHeight="1" x14ac:dyDescent="0.2">
      <c r="A144" s="235"/>
      <c r="B144" s="235"/>
      <c r="C144" s="235"/>
      <c r="D144" s="235"/>
      <c r="E144" s="235"/>
      <c r="F144" s="236"/>
      <c r="G144" s="236"/>
      <c r="H144" s="236"/>
      <c r="I144" s="237"/>
      <c r="K144" s="191"/>
    </row>
    <row r="145" spans="1:11" x14ac:dyDescent="0.2">
      <c r="A145" s="191"/>
      <c r="K145" s="191"/>
    </row>
  </sheetData>
  <mergeCells count="154">
    <mergeCell ref="A13:I13"/>
    <mergeCell ref="A14:I14"/>
    <mergeCell ref="A7:I7"/>
    <mergeCell ref="A8:B8"/>
    <mergeCell ref="A9:I9"/>
    <mergeCell ref="A10:B10"/>
    <mergeCell ref="A11:I11"/>
    <mergeCell ref="D12:I12"/>
    <mergeCell ref="A1:I1"/>
    <mergeCell ref="A2:I2"/>
    <mergeCell ref="A3:I3"/>
    <mergeCell ref="B4:C4"/>
    <mergeCell ref="A5:I5"/>
    <mergeCell ref="A6:B6"/>
    <mergeCell ref="D6:I6"/>
    <mergeCell ref="J15:K15"/>
    <mergeCell ref="C17:D17"/>
    <mergeCell ref="C18:D18"/>
    <mergeCell ref="C19:D19"/>
    <mergeCell ref="C20:D20"/>
    <mergeCell ref="C21:D21"/>
    <mergeCell ref="A15:B15"/>
    <mergeCell ref="C15:D16"/>
    <mergeCell ref="E15:F15"/>
    <mergeCell ref="G15:G16"/>
    <mergeCell ref="H15:H16"/>
    <mergeCell ref="I15:I16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80:D80"/>
    <mergeCell ref="C81:D81"/>
    <mergeCell ref="C71:D71"/>
    <mergeCell ref="C72:D72"/>
    <mergeCell ref="C73:D73"/>
    <mergeCell ref="C74:D74"/>
    <mergeCell ref="C64:D64"/>
    <mergeCell ref="C65:D65"/>
    <mergeCell ref="C58:D58"/>
    <mergeCell ref="C59:D59"/>
    <mergeCell ref="C60:D60"/>
    <mergeCell ref="C61:D61"/>
    <mergeCell ref="C62:D62"/>
    <mergeCell ref="C63:D63"/>
    <mergeCell ref="C66:D66"/>
    <mergeCell ref="C67:D67"/>
    <mergeCell ref="C68:D68"/>
    <mergeCell ref="C69:D69"/>
    <mergeCell ref="C70:D70"/>
    <mergeCell ref="C75:D75"/>
    <mergeCell ref="C76:D76"/>
    <mergeCell ref="C77:D77"/>
    <mergeCell ref="C78:D78"/>
    <mergeCell ref="C79:D79"/>
    <mergeCell ref="C91:D91"/>
    <mergeCell ref="C92:D92"/>
    <mergeCell ref="C93:D93"/>
    <mergeCell ref="C94:D94"/>
    <mergeCell ref="C95:D95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118:D118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4:D114"/>
    <mergeCell ref="C115:D115"/>
    <mergeCell ref="C116:D116"/>
    <mergeCell ref="C117:D117"/>
    <mergeCell ref="C110:D110"/>
    <mergeCell ref="C111:D111"/>
    <mergeCell ref="C112:D112"/>
    <mergeCell ref="C113:D113"/>
    <mergeCell ref="C137:D137"/>
    <mergeCell ref="C125:D125"/>
    <mergeCell ref="C126:D126"/>
    <mergeCell ref="C127:D127"/>
    <mergeCell ref="C128:D128"/>
    <mergeCell ref="C129:D129"/>
    <mergeCell ref="C119:D119"/>
    <mergeCell ref="C120:D120"/>
    <mergeCell ref="C121:D121"/>
    <mergeCell ref="C122:D122"/>
    <mergeCell ref="C123:D123"/>
    <mergeCell ref="C124:D124"/>
    <mergeCell ref="C130:D130"/>
    <mergeCell ref="C131:D131"/>
    <mergeCell ref="C132:D132"/>
    <mergeCell ref="C133:D133"/>
    <mergeCell ref="C134:D134"/>
    <mergeCell ref="C135:D135"/>
    <mergeCell ref="C136:D136"/>
    <mergeCell ref="C138:D138"/>
    <mergeCell ref="C139:D139"/>
    <mergeCell ref="A141:D141"/>
    <mergeCell ref="A142:D142"/>
    <mergeCell ref="A143:D143"/>
    <mergeCell ref="A144:D144"/>
    <mergeCell ref="E144:I144"/>
    <mergeCell ref="A140:D140"/>
    <mergeCell ref="E141:I141"/>
    <mergeCell ref="E142:F142"/>
    <mergeCell ref="E143:I14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7" zoomScaleNormal="100" workbookViewId="0">
      <selection activeCell="H8" sqref="H8:H15"/>
    </sheetView>
  </sheetViews>
  <sheetFormatPr defaultColWidth="8.85546875" defaultRowHeight="12.75" x14ac:dyDescent="0.25"/>
  <cols>
    <col min="1" max="1" width="14.28515625" style="100" customWidth="1"/>
    <col min="2" max="2" width="34.42578125" style="101" customWidth="1"/>
    <col min="3" max="3" width="14" style="102" customWidth="1"/>
    <col min="4" max="4" width="24.5703125" style="101" customWidth="1"/>
    <col min="5" max="5" width="21.7109375" style="101" customWidth="1"/>
    <col min="6" max="7" width="8.85546875" style="101"/>
    <col min="8" max="8" width="25.42578125" style="101" customWidth="1"/>
    <col min="9" max="9" width="9.85546875" style="101" bestFit="1" customWidth="1"/>
    <col min="10" max="10" width="8.85546875" style="101" customWidth="1"/>
    <col min="11" max="11" width="17.7109375" style="101" customWidth="1"/>
    <col min="12" max="16384" width="8.85546875" style="101"/>
  </cols>
  <sheetData>
    <row r="2" spans="1:11" ht="13.9" x14ac:dyDescent="0.3">
      <c r="B2" s="101" t="s">
        <v>41</v>
      </c>
    </row>
    <row r="4" spans="1:11" s="104" customFormat="1" ht="14.45" customHeight="1" x14ac:dyDescent="0.3">
      <c r="A4" s="103"/>
      <c r="B4" s="104" t="s">
        <v>12</v>
      </c>
      <c r="C4" s="105" t="s">
        <v>11</v>
      </c>
      <c r="D4" s="104" t="s">
        <v>10</v>
      </c>
      <c r="K4" s="104" t="s">
        <v>196</v>
      </c>
    </row>
    <row r="5" spans="1:11" ht="16.149999999999999" customHeight="1" x14ac:dyDescent="0.3">
      <c r="B5" s="101" t="s">
        <v>9</v>
      </c>
      <c r="C5" s="106" t="s">
        <v>8</v>
      </c>
      <c r="D5" s="101" t="s">
        <v>7</v>
      </c>
      <c r="E5" s="107" t="s">
        <v>6</v>
      </c>
      <c r="F5" s="101" t="s">
        <v>5</v>
      </c>
      <c r="H5" s="101" t="s">
        <v>156</v>
      </c>
      <c r="I5" s="118">
        <f>SUM(I7:I15)</f>
        <v>7388.88</v>
      </c>
      <c r="K5" s="118">
        <f>I5*10%</f>
        <v>738.88800000000003</v>
      </c>
    </row>
    <row r="7" spans="1:11" ht="14.45" x14ac:dyDescent="0.3">
      <c r="A7" s="100" t="s">
        <v>2</v>
      </c>
      <c r="B7" s="108" t="s">
        <v>40</v>
      </c>
      <c r="C7" s="109">
        <f>SUM(C9:C189)</f>
        <v>7388.880000000001</v>
      </c>
      <c r="D7" s="101" t="s">
        <v>3</v>
      </c>
      <c r="E7" s="110">
        <f>C7*0.1</f>
        <v>738.88800000000015</v>
      </c>
      <c r="I7" s="118"/>
    </row>
    <row r="8" spans="1:11" ht="13.9" x14ac:dyDescent="0.3">
      <c r="H8" s="101" t="s">
        <v>177</v>
      </c>
      <c r="I8" s="118">
        <f>SUM(C9,C10,C14,C24,C35)</f>
        <v>998.2</v>
      </c>
    </row>
    <row r="9" spans="1:11" s="99" customFormat="1" ht="14.45" x14ac:dyDescent="0.3">
      <c r="A9" s="111">
        <v>40724</v>
      </c>
      <c r="B9" s="99" t="s">
        <v>167</v>
      </c>
      <c r="C9" s="112">
        <v>330</v>
      </c>
      <c r="H9" s="99" t="s">
        <v>178</v>
      </c>
      <c r="I9" s="119">
        <f>C19</f>
        <v>480</v>
      </c>
    </row>
    <row r="10" spans="1:11" s="99" customFormat="1" ht="14.45" x14ac:dyDescent="0.3">
      <c r="A10" s="111">
        <v>40724</v>
      </c>
      <c r="B10" s="99" t="s">
        <v>167</v>
      </c>
      <c r="C10" s="112">
        <v>167.05</v>
      </c>
      <c r="H10" s="99" t="s">
        <v>179</v>
      </c>
      <c r="I10" s="119">
        <f>SUM(C13,C33)</f>
        <v>1699</v>
      </c>
    </row>
    <row r="11" spans="1:11" s="99" customFormat="1" ht="14.45" x14ac:dyDescent="0.3">
      <c r="A11" s="111">
        <v>40725</v>
      </c>
      <c r="B11" s="99" t="s">
        <v>39</v>
      </c>
      <c r="C11" s="112">
        <v>59.79</v>
      </c>
      <c r="H11" s="99" t="s">
        <v>180</v>
      </c>
      <c r="I11" s="119">
        <f>SUM(C20,C21,C28,C29)</f>
        <v>2401.65</v>
      </c>
    </row>
    <row r="12" spans="1:11" s="99" customFormat="1" ht="14.45" x14ac:dyDescent="0.3">
      <c r="A12" s="111">
        <v>40727</v>
      </c>
      <c r="B12" s="99" t="s">
        <v>38</v>
      </c>
      <c r="C12" s="112">
        <v>34.79</v>
      </c>
      <c r="D12" s="99" t="s">
        <v>37</v>
      </c>
      <c r="H12" s="99" t="s">
        <v>195</v>
      </c>
      <c r="I12" s="119">
        <f>C32</f>
        <v>10</v>
      </c>
    </row>
    <row r="13" spans="1:11" s="99" customFormat="1" ht="14.45" x14ac:dyDescent="0.3">
      <c r="A13" s="111">
        <v>40731</v>
      </c>
      <c r="B13" s="99" t="s">
        <v>36</v>
      </c>
      <c r="C13" s="112">
        <v>995</v>
      </c>
      <c r="H13" s="99" t="s">
        <v>181</v>
      </c>
      <c r="I13" s="119">
        <f>SUM(C11,C18,C31)</f>
        <v>176.74</v>
      </c>
    </row>
    <row r="14" spans="1:11" s="99" customFormat="1" ht="14.45" x14ac:dyDescent="0.3">
      <c r="A14" s="111">
        <v>40739</v>
      </c>
      <c r="B14" s="99" t="s">
        <v>167</v>
      </c>
      <c r="C14" s="112">
        <v>167.05</v>
      </c>
      <c r="H14" s="99" t="s">
        <v>182</v>
      </c>
      <c r="I14" s="119">
        <f>SUM(C15,C25,C37)</f>
        <v>157.84</v>
      </c>
    </row>
    <row r="15" spans="1:11" s="99" customFormat="1" ht="14.45" x14ac:dyDescent="0.3">
      <c r="A15" s="111">
        <v>40742</v>
      </c>
      <c r="B15" s="99" t="s">
        <v>19</v>
      </c>
      <c r="C15" s="112">
        <v>44</v>
      </c>
      <c r="H15" s="99" t="s">
        <v>183</v>
      </c>
      <c r="I15" s="119">
        <f>SUM(C12,C16,C17,C22,C23,C26,C27,C30,C34,C36,C38,C39,C40,C41)</f>
        <v>1465.45</v>
      </c>
    </row>
    <row r="16" spans="1:11" s="99" customFormat="1" ht="14.45" x14ac:dyDescent="0.3">
      <c r="A16" s="111">
        <v>40748</v>
      </c>
      <c r="B16" s="99" t="s">
        <v>35</v>
      </c>
      <c r="C16" s="112">
        <v>12</v>
      </c>
    </row>
    <row r="17" spans="1:8" s="99" customFormat="1" ht="14.45" x14ac:dyDescent="0.3">
      <c r="A17" s="111">
        <v>40742</v>
      </c>
      <c r="B17" s="99" t="s">
        <v>32</v>
      </c>
      <c r="C17" s="112">
        <v>100</v>
      </c>
    </row>
    <row r="18" spans="1:8" s="99" customFormat="1" ht="14.45" x14ac:dyDescent="0.3">
      <c r="A18" s="111">
        <v>40756</v>
      </c>
      <c r="B18" s="99" t="s">
        <v>31</v>
      </c>
      <c r="C18" s="112">
        <v>58.9</v>
      </c>
      <c r="H18" s="120"/>
    </row>
    <row r="19" spans="1:8" s="99" customFormat="1" ht="14.45" x14ac:dyDescent="0.3">
      <c r="A19" s="111">
        <v>40757</v>
      </c>
      <c r="B19" s="99" t="s">
        <v>30</v>
      </c>
      <c r="C19" s="112">
        <v>480</v>
      </c>
    </row>
    <row r="20" spans="1:8" s="99" customFormat="1" ht="28.9" x14ac:dyDescent="0.3">
      <c r="A20" s="111" t="s">
        <v>28</v>
      </c>
      <c r="B20" s="99" t="s">
        <v>27</v>
      </c>
      <c r="C20" s="112">
        <v>120</v>
      </c>
    </row>
    <row r="21" spans="1:8" s="99" customFormat="1" ht="14.45" x14ac:dyDescent="0.3">
      <c r="A21" s="111">
        <v>40768</v>
      </c>
      <c r="B21" s="99" t="s">
        <v>26</v>
      </c>
      <c r="C21" s="112">
        <v>111.65</v>
      </c>
    </row>
    <row r="22" spans="1:8" s="99" customFormat="1" ht="14.45" x14ac:dyDescent="0.3">
      <c r="A22" s="111">
        <v>40769</v>
      </c>
      <c r="B22" s="99" t="s">
        <v>21</v>
      </c>
      <c r="C22" s="112">
        <v>13.3</v>
      </c>
    </row>
    <row r="23" spans="1:8" s="99" customFormat="1" ht="14.45" x14ac:dyDescent="0.3">
      <c r="A23" s="111">
        <v>40769</v>
      </c>
      <c r="B23" s="99" t="s">
        <v>20</v>
      </c>
      <c r="C23" s="112">
        <v>917.8</v>
      </c>
    </row>
    <row r="24" spans="1:8" s="99" customFormat="1" ht="14.45" x14ac:dyDescent="0.3">
      <c r="A24" s="111">
        <v>40770</v>
      </c>
      <c r="B24" s="99" t="s">
        <v>167</v>
      </c>
      <c r="C24" s="112">
        <v>167.05</v>
      </c>
    </row>
    <row r="25" spans="1:8" s="99" customFormat="1" ht="14.45" x14ac:dyDescent="0.3">
      <c r="A25" s="111">
        <v>40772</v>
      </c>
      <c r="B25" s="99" t="s">
        <v>19</v>
      </c>
      <c r="C25" s="112">
        <v>54</v>
      </c>
    </row>
    <row r="26" spans="1:8" s="99" customFormat="1" ht="14.45" x14ac:dyDescent="0.3">
      <c r="A26" s="111">
        <v>40774</v>
      </c>
      <c r="B26" s="99" t="s">
        <v>15</v>
      </c>
      <c r="C26" s="112">
        <v>36.5</v>
      </c>
    </row>
    <row r="27" spans="1:8" s="99" customFormat="1" ht="14.45" x14ac:dyDescent="0.3">
      <c r="A27" s="111">
        <v>40773</v>
      </c>
      <c r="B27" s="99" t="s">
        <v>14</v>
      </c>
      <c r="C27" s="112">
        <v>9.23</v>
      </c>
    </row>
    <row r="28" spans="1:8" s="99" customFormat="1" ht="28.9" x14ac:dyDescent="0.3">
      <c r="A28" s="111">
        <v>40779</v>
      </c>
      <c r="B28" s="99" t="s">
        <v>175</v>
      </c>
      <c r="C28" s="112">
        <v>520</v>
      </c>
    </row>
    <row r="29" spans="1:8" s="99" customFormat="1" ht="28.9" x14ac:dyDescent="0.3">
      <c r="A29" s="111">
        <v>40779</v>
      </c>
      <c r="B29" s="99" t="s">
        <v>176</v>
      </c>
      <c r="C29" s="112">
        <v>1650</v>
      </c>
    </row>
    <row r="30" spans="1:8" s="99" customFormat="1" ht="14.45" x14ac:dyDescent="0.3">
      <c r="A30" s="111">
        <v>40780</v>
      </c>
      <c r="B30" s="99" t="s">
        <v>13</v>
      </c>
      <c r="C30" s="112">
        <v>13.45</v>
      </c>
    </row>
    <row r="31" spans="1:8" ht="14.45" x14ac:dyDescent="0.3">
      <c r="A31" s="100">
        <v>40787</v>
      </c>
      <c r="B31" s="99" t="s">
        <v>31</v>
      </c>
      <c r="C31" s="102">
        <v>58.05</v>
      </c>
    </row>
    <row r="32" spans="1:8" ht="13.9" x14ac:dyDescent="0.3">
      <c r="A32" s="100">
        <v>40788</v>
      </c>
      <c r="B32" s="101" t="s">
        <v>154</v>
      </c>
      <c r="C32" s="102">
        <v>10</v>
      </c>
    </row>
    <row r="33" spans="1:3" ht="13.9" x14ac:dyDescent="0.3">
      <c r="A33" s="100">
        <v>40798</v>
      </c>
      <c r="B33" s="113" t="s">
        <v>165</v>
      </c>
      <c r="C33" s="102">
        <v>704</v>
      </c>
    </row>
    <row r="34" spans="1:3" ht="13.9" x14ac:dyDescent="0.3">
      <c r="A34" s="100">
        <v>40799</v>
      </c>
      <c r="B34" s="101" t="s">
        <v>166</v>
      </c>
      <c r="C34" s="102">
        <v>16</v>
      </c>
    </row>
    <row r="35" spans="1:3" ht="14.45" x14ac:dyDescent="0.3">
      <c r="A35" s="100">
        <v>40801</v>
      </c>
      <c r="B35" s="99" t="s">
        <v>167</v>
      </c>
      <c r="C35" s="102">
        <v>167.05</v>
      </c>
    </row>
    <row r="36" spans="1:3" ht="13.9" x14ac:dyDescent="0.3">
      <c r="A36" s="100">
        <v>40798</v>
      </c>
      <c r="B36" s="101" t="s">
        <v>168</v>
      </c>
      <c r="C36" s="102">
        <v>55</v>
      </c>
    </row>
    <row r="37" spans="1:3" ht="14.45" x14ac:dyDescent="0.3">
      <c r="A37" s="100">
        <v>40803</v>
      </c>
      <c r="B37" s="99" t="s">
        <v>19</v>
      </c>
      <c r="C37" s="102">
        <v>59.84</v>
      </c>
    </row>
    <row r="38" spans="1:3" ht="13.9" x14ac:dyDescent="0.3">
      <c r="A38" s="100">
        <v>40804</v>
      </c>
      <c r="B38" s="101" t="s">
        <v>171</v>
      </c>
      <c r="C38" s="102">
        <v>76.47</v>
      </c>
    </row>
    <row r="39" spans="1:3" ht="13.9" x14ac:dyDescent="0.3">
      <c r="A39" s="100">
        <v>40811</v>
      </c>
      <c r="B39" s="101" t="s">
        <v>199</v>
      </c>
      <c r="C39" s="102">
        <v>49.95</v>
      </c>
    </row>
    <row r="40" spans="1:3" ht="13.9" x14ac:dyDescent="0.3">
      <c r="A40" s="100">
        <v>40811</v>
      </c>
      <c r="B40" s="101" t="s">
        <v>200</v>
      </c>
      <c r="C40" s="102">
        <v>26</v>
      </c>
    </row>
    <row r="41" spans="1:3" ht="13.9" x14ac:dyDescent="0.3">
      <c r="A41" s="100">
        <v>40813</v>
      </c>
      <c r="B41" s="101" t="s">
        <v>208</v>
      </c>
      <c r="C41" s="102">
        <v>104.96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4"/>
  <sheetViews>
    <sheetView topLeftCell="A10" workbookViewId="0">
      <selection activeCell="E9" sqref="E9:F26"/>
    </sheetView>
  </sheetViews>
  <sheetFormatPr defaultColWidth="8.85546875" defaultRowHeight="12.75" x14ac:dyDescent="0.2"/>
  <cols>
    <col min="1" max="1" width="14.28515625" style="5" customWidth="1"/>
    <col min="2" max="2" width="34.42578125" style="3" customWidth="1"/>
    <col min="3" max="3" width="14" style="4" customWidth="1"/>
    <col min="4" max="4" width="9.85546875" style="3" customWidth="1"/>
    <col min="5" max="5" width="28.7109375" style="3" customWidth="1"/>
    <col min="6" max="6" width="12.7109375" style="181" customWidth="1"/>
    <col min="7" max="7" width="27.42578125" style="3" customWidth="1"/>
    <col min="8" max="8" width="6.28515625" style="3" customWidth="1"/>
    <col min="9" max="9" width="33" style="3" customWidth="1"/>
    <col min="10" max="10" width="11.7109375" style="3" customWidth="1"/>
    <col min="11" max="16384" width="8.85546875" style="3"/>
  </cols>
  <sheetData>
    <row r="2" spans="1:6" ht="13.9" x14ac:dyDescent="0.3">
      <c r="B2" s="3" t="s">
        <v>41</v>
      </c>
    </row>
    <row r="3" spans="1:6" ht="13.9" x14ac:dyDescent="0.3">
      <c r="B3" s="11" t="s">
        <v>6</v>
      </c>
    </row>
    <row r="4" spans="1:6" ht="16.149999999999999" customHeight="1" x14ac:dyDescent="0.3">
      <c r="B4" s="3" t="s">
        <v>260</v>
      </c>
      <c r="C4" s="12" t="s">
        <v>8</v>
      </c>
      <c r="D4" s="190" t="s">
        <v>7</v>
      </c>
      <c r="E4" s="190"/>
    </row>
    <row r="6" spans="1:6" ht="14.45" x14ac:dyDescent="0.3">
      <c r="A6" s="5" t="s">
        <v>2</v>
      </c>
      <c r="B6" s="10" t="s">
        <v>40</v>
      </c>
      <c r="C6" s="9">
        <f>SUM(C8:C176)</f>
        <v>47659.22</v>
      </c>
      <c r="E6" s="4"/>
    </row>
    <row r="9" spans="1:6" ht="13.9" x14ac:dyDescent="0.3">
      <c r="A9" s="158">
        <v>40817</v>
      </c>
      <c r="B9" s="159" t="s">
        <v>259</v>
      </c>
      <c r="C9" s="160">
        <v>9.67</v>
      </c>
      <c r="E9" s="157" t="s">
        <v>293</v>
      </c>
      <c r="F9" s="181">
        <f>C9+C21+C38</f>
        <v>29.67</v>
      </c>
    </row>
    <row r="10" spans="1:6" ht="14.45" x14ac:dyDescent="0.3">
      <c r="A10" s="155">
        <v>40820</v>
      </c>
      <c r="B10" s="154" t="s">
        <v>224</v>
      </c>
      <c r="C10" s="156">
        <v>61.09</v>
      </c>
      <c r="E10" s="161" t="s">
        <v>294</v>
      </c>
      <c r="F10" s="181">
        <f>SUM(C16,C18,C29,C45)</f>
        <v>1325.3899999999999</v>
      </c>
    </row>
    <row r="11" spans="1:6" ht="14.45" x14ac:dyDescent="0.3">
      <c r="A11" s="167">
        <v>40820</v>
      </c>
      <c r="B11" s="168" t="s">
        <v>222</v>
      </c>
      <c r="C11" s="169">
        <v>143.04</v>
      </c>
      <c r="E11" s="170" t="s">
        <v>295</v>
      </c>
      <c r="F11" s="182">
        <f>C11+C14+C22+C33+C35+C40+C48+C51+C52</f>
        <v>7680.77</v>
      </c>
    </row>
    <row r="12" spans="1:6" ht="14.45" x14ac:dyDescent="0.3">
      <c r="A12" s="155">
        <v>40821</v>
      </c>
      <c r="B12" s="154" t="s">
        <v>233</v>
      </c>
      <c r="C12" s="156">
        <v>59.84</v>
      </c>
      <c r="E12" s="99" t="s">
        <v>296</v>
      </c>
    </row>
    <row r="13" spans="1:6" ht="14.45" x14ac:dyDescent="0.3">
      <c r="A13" s="164">
        <v>40827</v>
      </c>
      <c r="B13" s="165" t="s">
        <v>226</v>
      </c>
      <c r="C13" s="166">
        <v>51.95</v>
      </c>
      <c r="E13" s="175" t="s">
        <v>297</v>
      </c>
      <c r="F13" s="189">
        <f>C17+C30+C44+C54</f>
        <v>27346.389999999996</v>
      </c>
    </row>
    <row r="14" spans="1:6" ht="14.45" x14ac:dyDescent="0.3">
      <c r="A14" s="167">
        <v>40831</v>
      </c>
      <c r="B14" s="168" t="s">
        <v>225</v>
      </c>
      <c r="C14" s="169">
        <v>46</v>
      </c>
      <c r="E14" s="177" t="s">
        <v>298</v>
      </c>
      <c r="F14" s="183">
        <f>C32</f>
        <v>165</v>
      </c>
    </row>
    <row r="15" spans="1:6" ht="14.45" x14ac:dyDescent="0.3">
      <c r="A15" s="173">
        <v>40831</v>
      </c>
      <c r="B15" s="172" t="s">
        <v>227</v>
      </c>
      <c r="C15" s="174">
        <v>535</v>
      </c>
      <c r="E15" s="99" t="s">
        <v>299</v>
      </c>
    </row>
    <row r="16" spans="1:6" ht="14.45" x14ac:dyDescent="0.3">
      <c r="A16" s="162">
        <v>40832</v>
      </c>
      <c r="B16" s="151" t="s">
        <v>228</v>
      </c>
      <c r="C16" s="163">
        <v>167.05</v>
      </c>
      <c r="E16" s="171" t="s">
        <v>300</v>
      </c>
      <c r="F16" s="184">
        <f>C15+C19+C28+C39+C43</f>
        <v>3679.52</v>
      </c>
    </row>
    <row r="17" spans="1:6" ht="13.9" x14ac:dyDescent="0.3">
      <c r="A17" s="187">
        <v>40834</v>
      </c>
      <c r="B17" s="176" t="s">
        <v>229</v>
      </c>
      <c r="C17" s="188">
        <v>145</v>
      </c>
      <c r="E17" s="165" t="s">
        <v>301</v>
      </c>
      <c r="F17" s="185">
        <f>C13+C31+C34</f>
        <v>314.87</v>
      </c>
    </row>
    <row r="18" spans="1:6" ht="13.9" x14ac:dyDescent="0.3">
      <c r="A18" s="162">
        <v>40846</v>
      </c>
      <c r="B18" s="151" t="s">
        <v>234</v>
      </c>
      <c r="C18" s="163">
        <v>591</v>
      </c>
      <c r="E18" s="154" t="s">
        <v>302</v>
      </c>
      <c r="F18" s="181">
        <f>C10+C12+C20+C24+C37+C41</f>
        <v>353.14</v>
      </c>
    </row>
    <row r="19" spans="1:6" ht="13.9" x14ac:dyDescent="0.3">
      <c r="A19" s="173">
        <v>40848</v>
      </c>
      <c r="B19" s="172" t="s">
        <v>232</v>
      </c>
      <c r="C19" s="174">
        <v>1100.77</v>
      </c>
      <c r="E19" s="150" t="s">
        <v>303</v>
      </c>
      <c r="F19" s="186">
        <f>C23+C25+C26+C36+C27+C42+C46+C47+C49+C50+C53</f>
        <v>6764.4699999999993</v>
      </c>
    </row>
    <row r="20" spans="1:6" ht="13.9" x14ac:dyDescent="0.3">
      <c r="A20" s="155">
        <v>40848</v>
      </c>
      <c r="B20" s="154" t="s">
        <v>237</v>
      </c>
      <c r="C20" s="156">
        <v>62.09</v>
      </c>
    </row>
    <row r="21" spans="1:6" ht="13.9" x14ac:dyDescent="0.3">
      <c r="A21" s="158">
        <v>40848</v>
      </c>
      <c r="B21" s="159" t="s">
        <v>259</v>
      </c>
      <c r="C21" s="160">
        <v>10</v>
      </c>
      <c r="E21" s="3" t="s">
        <v>305</v>
      </c>
      <c r="F21" s="181">
        <f>SUM(F9:F19)</f>
        <v>47659.219999999994</v>
      </c>
    </row>
    <row r="22" spans="1:6" ht="13.9" x14ac:dyDescent="0.3">
      <c r="A22" s="167">
        <v>40849</v>
      </c>
      <c r="B22" s="168" t="s">
        <v>236</v>
      </c>
      <c r="C22" s="169">
        <v>175</v>
      </c>
    </row>
    <row r="23" spans="1:6" ht="13.9" x14ac:dyDescent="0.3">
      <c r="A23" s="152">
        <v>40850</v>
      </c>
      <c r="B23" s="150" t="s">
        <v>251</v>
      </c>
      <c r="C23" s="153">
        <v>765</v>
      </c>
    </row>
    <row r="24" spans="1:6" ht="13.9" x14ac:dyDescent="0.3">
      <c r="A24" s="155">
        <v>40851</v>
      </c>
      <c r="B24" s="154" t="s">
        <v>233</v>
      </c>
      <c r="C24" s="156">
        <v>54</v>
      </c>
      <c r="E24" s="3" t="s">
        <v>309</v>
      </c>
      <c r="F24" s="181">
        <f>'Business Income'!L9</f>
        <v>81726.499999999985</v>
      </c>
    </row>
    <row r="25" spans="1:6" ht="13.9" x14ac:dyDescent="0.3">
      <c r="A25" s="152">
        <v>40855</v>
      </c>
      <c r="B25" s="150" t="s">
        <v>252</v>
      </c>
      <c r="C25" s="153">
        <v>963.77</v>
      </c>
      <c r="E25" s="3" t="s">
        <v>306</v>
      </c>
      <c r="F25" s="181">
        <f>'Business Income'!L41+'Business Income'!L43</f>
        <v>16192.44</v>
      </c>
    </row>
    <row r="26" spans="1:6" ht="13.9" x14ac:dyDescent="0.3">
      <c r="A26" s="152">
        <v>40856</v>
      </c>
      <c r="B26" s="150" t="s">
        <v>254</v>
      </c>
      <c r="C26" s="153">
        <v>1323.3</v>
      </c>
      <c r="E26" s="3" t="s">
        <v>307</v>
      </c>
      <c r="F26" s="181">
        <f>'Business Income'!L40+'Business Income'!L42+'Business Income'!L44+'Business Income'!L45+'Business Income'!L46</f>
        <v>1373.4499999999998</v>
      </c>
    </row>
    <row r="27" spans="1:6" ht="13.9" x14ac:dyDescent="0.3">
      <c r="A27" s="152">
        <v>40858</v>
      </c>
      <c r="B27" s="150" t="s">
        <v>255</v>
      </c>
      <c r="C27" s="153">
        <v>149</v>
      </c>
    </row>
    <row r="28" spans="1:6" ht="13.9" x14ac:dyDescent="0.3">
      <c r="A28" s="173">
        <v>40862</v>
      </c>
      <c r="B28" s="172" t="s">
        <v>227</v>
      </c>
      <c r="C28" s="174">
        <v>535</v>
      </c>
    </row>
    <row r="29" spans="1:6" ht="13.9" x14ac:dyDescent="0.3">
      <c r="A29" s="162">
        <v>40862</v>
      </c>
      <c r="B29" s="151" t="s">
        <v>228</v>
      </c>
      <c r="C29" s="163">
        <v>204.76</v>
      </c>
    </row>
    <row r="30" spans="1:6" ht="13.9" x14ac:dyDescent="0.3">
      <c r="A30" s="187">
        <v>40863</v>
      </c>
      <c r="B30" s="176" t="s">
        <v>229</v>
      </c>
      <c r="C30" s="188">
        <v>115</v>
      </c>
    </row>
    <row r="31" spans="1:6" ht="13.9" x14ac:dyDescent="0.3">
      <c r="A31" s="164">
        <v>40869</v>
      </c>
      <c r="B31" s="165" t="s">
        <v>257</v>
      </c>
      <c r="C31" s="166">
        <v>98.42</v>
      </c>
    </row>
    <row r="32" spans="1:6" ht="13.9" x14ac:dyDescent="0.3">
      <c r="A32" s="179">
        <v>40869</v>
      </c>
      <c r="B32" s="178" t="s">
        <v>258</v>
      </c>
      <c r="C32" s="180">
        <v>165</v>
      </c>
    </row>
    <row r="33" spans="1:3" ht="13.9" x14ac:dyDescent="0.3">
      <c r="A33" s="167">
        <v>40871</v>
      </c>
      <c r="B33" s="168" t="s">
        <v>256</v>
      </c>
      <c r="C33" s="169">
        <v>522.5</v>
      </c>
    </row>
    <row r="34" spans="1:3" ht="13.9" x14ac:dyDescent="0.3">
      <c r="A34" s="164">
        <v>40872</v>
      </c>
      <c r="B34" s="165" t="s">
        <v>230</v>
      </c>
      <c r="C34" s="166">
        <v>164.5</v>
      </c>
    </row>
    <row r="35" spans="1:3" ht="25.5" x14ac:dyDescent="0.2">
      <c r="A35" s="167">
        <v>40876</v>
      </c>
      <c r="B35" s="168" t="s">
        <v>221</v>
      </c>
      <c r="C35" s="169">
        <v>3062</v>
      </c>
    </row>
    <row r="36" spans="1:3" x14ac:dyDescent="0.2">
      <c r="A36" s="152">
        <v>40876</v>
      </c>
      <c r="B36" s="150" t="s">
        <v>223</v>
      </c>
      <c r="C36" s="153">
        <v>877</v>
      </c>
    </row>
    <row r="37" spans="1:3" x14ac:dyDescent="0.2">
      <c r="A37" s="155">
        <v>40878</v>
      </c>
      <c r="B37" s="154" t="s">
        <v>231</v>
      </c>
      <c r="C37" s="156">
        <v>62.12</v>
      </c>
    </row>
    <row r="38" spans="1:3" x14ac:dyDescent="0.2">
      <c r="A38" s="158">
        <v>40878</v>
      </c>
      <c r="B38" s="159" t="s">
        <v>259</v>
      </c>
      <c r="C38" s="160">
        <v>10</v>
      </c>
    </row>
    <row r="39" spans="1:3" x14ac:dyDescent="0.2">
      <c r="A39" s="173">
        <v>40881</v>
      </c>
      <c r="B39" s="172" t="s">
        <v>262</v>
      </c>
      <c r="C39" s="174">
        <f>822+11.1+19.2+20.95+100.5</f>
        <v>973.75000000000011</v>
      </c>
    </row>
    <row r="40" spans="1:3" x14ac:dyDescent="0.2">
      <c r="A40" s="167">
        <v>40881</v>
      </c>
      <c r="B40" s="168" t="s">
        <v>261</v>
      </c>
      <c r="C40" s="169">
        <v>1857.9</v>
      </c>
    </row>
    <row r="41" spans="1:3" x14ac:dyDescent="0.2">
      <c r="A41" s="155">
        <v>40882</v>
      </c>
      <c r="B41" s="154" t="s">
        <v>233</v>
      </c>
      <c r="C41" s="156">
        <v>54</v>
      </c>
    </row>
    <row r="42" spans="1:3" x14ac:dyDescent="0.2">
      <c r="A42" s="152">
        <v>40885</v>
      </c>
      <c r="B42" s="150" t="s">
        <v>254</v>
      </c>
      <c r="C42" s="153">
        <v>1323.3</v>
      </c>
    </row>
    <row r="43" spans="1:3" x14ac:dyDescent="0.2">
      <c r="A43" s="173">
        <v>40892</v>
      </c>
      <c r="B43" s="172" t="s">
        <v>227</v>
      </c>
      <c r="C43" s="174">
        <v>535</v>
      </c>
    </row>
    <row r="44" spans="1:3" x14ac:dyDescent="0.2">
      <c r="A44" s="187">
        <v>40893</v>
      </c>
      <c r="B44" s="176" t="s">
        <v>229</v>
      </c>
      <c r="C44" s="188">
        <v>115</v>
      </c>
    </row>
    <row r="45" spans="1:3" x14ac:dyDescent="0.2">
      <c r="A45" s="162">
        <v>40894</v>
      </c>
      <c r="B45" s="151" t="s">
        <v>228</v>
      </c>
      <c r="C45" s="163">
        <v>362.58</v>
      </c>
    </row>
    <row r="46" spans="1:3" x14ac:dyDescent="0.2">
      <c r="A46" s="152">
        <v>40896</v>
      </c>
      <c r="B46" s="150" t="s">
        <v>254</v>
      </c>
      <c r="C46" s="153">
        <v>331</v>
      </c>
    </row>
    <row r="47" spans="1:3" x14ac:dyDescent="0.2">
      <c r="A47" s="152">
        <v>40899</v>
      </c>
      <c r="B47" s="150" t="s">
        <v>287</v>
      </c>
      <c r="C47" s="153">
        <v>15</v>
      </c>
    </row>
    <row r="48" spans="1:3" x14ac:dyDescent="0.2">
      <c r="A48" s="167">
        <v>40901</v>
      </c>
      <c r="B48" s="168" t="s">
        <v>289</v>
      </c>
      <c r="C48" s="169">
        <v>14.4</v>
      </c>
    </row>
    <row r="49" spans="1:3" x14ac:dyDescent="0.2">
      <c r="A49" s="152">
        <v>40905</v>
      </c>
      <c r="B49" s="150" t="s">
        <v>254</v>
      </c>
      <c r="C49" s="153">
        <v>331</v>
      </c>
    </row>
    <row r="50" spans="1:3" x14ac:dyDescent="0.2">
      <c r="A50" s="152">
        <v>40906</v>
      </c>
      <c r="B50" s="150" t="s">
        <v>290</v>
      </c>
      <c r="C50" s="153">
        <v>16.32</v>
      </c>
    </row>
    <row r="51" spans="1:3" ht="25.5" x14ac:dyDescent="0.2">
      <c r="A51" s="167">
        <v>40907</v>
      </c>
      <c r="B51" s="168" t="s">
        <v>291</v>
      </c>
      <c r="C51" s="169">
        <v>139.93</v>
      </c>
    </row>
    <row r="52" spans="1:3" x14ac:dyDescent="0.2">
      <c r="A52" s="167">
        <v>40908</v>
      </c>
      <c r="B52" s="168" t="s">
        <v>292</v>
      </c>
      <c r="C52" s="169">
        <v>1720</v>
      </c>
    </row>
    <row r="53" spans="1:3" x14ac:dyDescent="0.2">
      <c r="A53" s="152">
        <v>40908</v>
      </c>
      <c r="B53" s="150" t="s">
        <v>304</v>
      </c>
      <c r="C53" s="153">
        <f>'Mileage2nd quarter'!K65</f>
        <v>669.78000000000009</v>
      </c>
    </row>
    <row r="54" spans="1:3" x14ac:dyDescent="0.2">
      <c r="A54" s="187">
        <v>40908</v>
      </c>
      <c r="B54" s="176" t="s">
        <v>308</v>
      </c>
      <c r="C54" s="188">
        <f>'Business Income'!M9+'Business Income'!N9</f>
        <v>26971.389999999996</v>
      </c>
    </row>
  </sheetData>
  <sortState ref="A10:C52">
    <sortCondition ref="A9"/>
  </sortState>
  <pageMargins left="0.25" right="0.25" top="0.75" bottom="0.75" header="0.3" footer="0.3"/>
  <pageSetup paperSize="9" scale="87" fitToHeight="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19" zoomScaleNormal="100" workbookViewId="0">
      <selection activeCell="G10" sqref="A1:XFD1048576"/>
    </sheetView>
  </sheetViews>
  <sheetFormatPr defaultRowHeight="12.6" customHeight="1" x14ac:dyDescent="0.2"/>
  <cols>
    <col min="1" max="1" width="11.7109375" style="14" customWidth="1"/>
    <col min="2" max="2" width="10.85546875" style="146" customWidth="1"/>
    <col min="3" max="3" width="20.28515625" style="146" customWidth="1"/>
    <col min="4" max="4" width="14.42578125" style="146" customWidth="1"/>
    <col min="5" max="5" width="10" style="146" customWidth="1"/>
    <col min="6" max="6" width="9.85546875" style="146" customWidth="1"/>
    <col min="7" max="7" width="10.28515625" style="146" customWidth="1"/>
    <col min="8" max="8" width="9.42578125" style="146" customWidth="1"/>
    <col min="9" max="9" width="8" style="146" customWidth="1"/>
    <col min="10" max="10" width="8.85546875" style="146"/>
    <col min="11" max="11" width="8.85546875" style="6"/>
    <col min="12" max="12" width="18.140625" style="146" customWidth="1"/>
    <col min="13" max="256" width="8.85546875" style="146"/>
    <col min="257" max="257" width="9" style="146" customWidth="1"/>
    <col min="258" max="258" width="10.85546875" style="146" customWidth="1"/>
    <col min="259" max="259" width="20.28515625" style="146" customWidth="1"/>
    <col min="260" max="260" width="6.28515625" style="146" customWidth="1"/>
    <col min="261" max="261" width="10" style="146" customWidth="1"/>
    <col min="262" max="262" width="9.85546875" style="146" customWidth="1"/>
    <col min="263" max="263" width="7.42578125" style="146" customWidth="1"/>
    <col min="264" max="264" width="9.42578125" style="146" customWidth="1"/>
    <col min="265" max="265" width="6.7109375" style="146" customWidth="1"/>
    <col min="266" max="512" width="8.85546875" style="146"/>
    <col min="513" max="513" width="9" style="146" customWidth="1"/>
    <col min="514" max="514" width="10.85546875" style="146" customWidth="1"/>
    <col min="515" max="515" width="20.28515625" style="146" customWidth="1"/>
    <col min="516" max="516" width="6.28515625" style="146" customWidth="1"/>
    <col min="517" max="517" width="10" style="146" customWidth="1"/>
    <col min="518" max="518" width="9.85546875" style="146" customWidth="1"/>
    <col min="519" max="519" width="7.42578125" style="146" customWidth="1"/>
    <col min="520" max="520" width="9.42578125" style="146" customWidth="1"/>
    <col min="521" max="521" width="6.7109375" style="146" customWidth="1"/>
    <col min="522" max="768" width="8.85546875" style="146"/>
    <col min="769" max="769" width="9" style="146" customWidth="1"/>
    <col min="770" max="770" width="10.85546875" style="146" customWidth="1"/>
    <col min="771" max="771" width="20.28515625" style="146" customWidth="1"/>
    <col min="772" max="772" width="6.28515625" style="146" customWidth="1"/>
    <col min="773" max="773" width="10" style="146" customWidth="1"/>
    <col min="774" max="774" width="9.85546875" style="146" customWidth="1"/>
    <col min="775" max="775" width="7.42578125" style="146" customWidth="1"/>
    <col min="776" max="776" width="9.42578125" style="146" customWidth="1"/>
    <col min="777" max="777" width="6.7109375" style="146" customWidth="1"/>
    <col min="778" max="1024" width="8.85546875" style="146"/>
    <col min="1025" max="1025" width="9" style="146" customWidth="1"/>
    <col min="1026" max="1026" width="10.85546875" style="146" customWidth="1"/>
    <col min="1027" max="1027" width="20.28515625" style="146" customWidth="1"/>
    <col min="1028" max="1028" width="6.28515625" style="146" customWidth="1"/>
    <col min="1029" max="1029" width="10" style="146" customWidth="1"/>
    <col min="1030" max="1030" width="9.85546875" style="146" customWidth="1"/>
    <col min="1031" max="1031" width="7.42578125" style="146" customWidth="1"/>
    <col min="1032" max="1032" width="9.42578125" style="146" customWidth="1"/>
    <col min="1033" max="1033" width="6.7109375" style="146" customWidth="1"/>
    <col min="1034" max="1280" width="8.85546875" style="146"/>
    <col min="1281" max="1281" width="9" style="146" customWidth="1"/>
    <col min="1282" max="1282" width="10.85546875" style="146" customWidth="1"/>
    <col min="1283" max="1283" width="20.28515625" style="146" customWidth="1"/>
    <col min="1284" max="1284" width="6.28515625" style="146" customWidth="1"/>
    <col min="1285" max="1285" width="10" style="146" customWidth="1"/>
    <col min="1286" max="1286" width="9.85546875" style="146" customWidth="1"/>
    <col min="1287" max="1287" width="7.42578125" style="146" customWidth="1"/>
    <col min="1288" max="1288" width="9.42578125" style="146" customWidth="1"/>
    <col min="1289" max="1289" width="6.7109375" style="146" customWidth="1"/>
    <col min="1290" max="1536" width="8.85546875" style="146"/>
    <col min="1537" max="1537" width="9" style="146" customWidth="1"/>
    <col min="1538" max="1538" width="10.85546875" style="146" customWidth="1"/>
    <col min="1539" max="1539" width="20.28515625" style="146" customWidth="1"/>
    <col min="1540" max="1540" width="6.28515625" style="146" customWidth="1"/>
    <col min="1541" max="1541" width="10" style="146" customWidth="1"/>
    <col min="1542" max="1542" width="9.85546875" style="146" customWidth="1"/>
    <col min="1543" max="1543" width="7.42578125" style="146" customWidth="1"/>
    <col min="1544" max="1544" width="9.42578125" style="146" customWidth="1"/>
    <col min="1545" max="1545" width="6.7109375" style="146" customWidth="1"/>
    <col min="1546" max="1792" width="8.85546875" style="146"/>
    <col min="1793" max="1793" width="9" style="146" customWidth="1"/>
    <col min="1794" max="1794" width="10.85546875" style="146" customWidth="1"/>
    <col min="1795" max="1795" width="20.28515625" style="146" customWidth="1"/>
    <col min="1796" max="1796" width="6.28515625" style="146" customWidth="1"/>
    <col min="1797" max="1797" width="10" style="146" customWidth="1"/>
    <col min="1798" max="1798" width="9.85546875" style="146" customWidth="1"/>
    <col min="1799" max="1799" width="7.42578125" style="146" customWidth="1"/>
    <col min="1800" max="1800" width="9.42578125" style="146" customWidth="1"/>
    <col min="1801" max="1801" width="6.7109375" style="146" customWidth="1"/>
    <col min="1802" max="2048" width="8.85546875" style="146"/>
    <col min="2049" max="2049" width="9" style="146" customWidth="1"/>
    <col min="2050" max="2050" width="10.85546875" style="146" customWidth="1"/>
    <col min="2051" max="2051" width="20.28515625" style="146" customWidth="1"/>
    <col min="2052" max="2052" width="6.28515625" style="146" customWidth="1"/>
    <col min="2053" max="2053" width="10" style="146" customWidth="1"/>
    <col min="2054" max="2054" width="9.85546875" style="146" customWidth="1"/>
    <col min="2055" max="2055" width="7.42578125" style="146" customWidth="1"/>
    <col min="2056" max="2056" width="9.42578125" style="146" customWidth="1"/>
    <col min="2057" max="2057" width="6.7109375" style="146" customWidth="1"/>
    <col min="2058" max="2304" width="8.85546875" style="146"/>
    <col min="2305" max="2305" width="9" style="146" customWidth="1"/>
    <col min="2306" max="2306" width="10.85546875" style="146" customWidth="1"/>
    <col min="2307" max="2307" width="20.28515625" style="146" customWidth="1"/>
    <col min="2308" max="2308" width="6.28515625" style="146" customWidth="1"/>
    <col min="2309" max="2309" width="10" style="146" customWidth="1"/>
    <col min="2310" max="2310" width="9.85546875" style="146" customWidth="1"/>
    <col min="2311" max="2311" width="7.42578125" style="146" customWidth="1"/>
    <col min="2312" max="2312" width="9.42578125" style="146" customWidth="1"/>
    <col min="2313" max="2313" width="6.7109375" style="146" customWidth="1"/>
    <col min="2314" max="2560" width="8.85546875" style="146"/>
    <col min="2561" max="2561" width="9" style="146" customWidth="1"/>
    <col min="2562" max="2562" width="10.85546875" style="146" customWidth="1"/>
    <col min="2563" max="2563" width="20.28515625" style="146" customWidth="1"/>
    <col min="2564" max="2564" width="6.28515625" style="146" customWidth="1"/>
    <col min="2565" max="2565" width="10" style="146" customWidth="1"/>
    <col min="2566" max="2566" width="9.85546875" style="146" customWidth="1"/>
    <col min="2567" max="2567" width="7.42578125" style="146" customWidth="1"/>
    <col min="2568" max="2568" width="9.42578125" style="146" customWidth="1"/>
    <col min="2569" max="2569" width="6.7109375" style="146" customWidth="1"/>
    <col min="2570" max="2816" width="8.85546875" style="146"/>
    <col min="2817" max="2817" width="9" style="146" customWidth="1"/>
    <col min="2818" max="2818" width="10.85546875" style="146" customWidth="1"/>
    <col min="2819" max="2819" width="20.28515625" style="146" customWidth="1"/>
    <col min="2820" max="2820" width="6.28515625" style="146" customWidth="1"/>
    <col min="2821" max="2821" width="10" style="146" customWidth="1"/>
    <col min="2822" max="2822" width="9.85546875" style="146" customWidth="1"/>
    <col min="2823" max="2823" width="7.42578125" style="146" customWidth="1"/>
    <col min="2824" max="2824" width="9.42578125" style="146" customWidth="1"/>
    <col min="2825" max="2825" width="6.7109375" style="146" customWidth="1"/>
    <col min="2826" max="3072" width="8.85546875" style="146"/>
    <col min="3073" max="3073" width="9" style="146" customWidth="1"/>
    <col min="3074" max="3074" width="10.85546875" style="146" customWidth="1"/>
    <col min="3075" max="3075" width="20.28515625" style="146" customWidth="1"/>
    <col min="3076" max="3076" width="6.28515625" style="146" customWidth="1"/>
    <col min="3077" max="3077" width="10" style="146" customWidth="1"/>
    <col min="3078" max="3078" width="9.85546875" style="146" customWidth="1"/>
    <col min="3079" max="3079" width="7.42578125" style="146" customWidth="1"/>
    <col min="3080" max="3080" width="9.42578125" style="146" customWidth="1"/>
    <col min="3081" max="3081" width="6.7109375" style="146" customWidth="1"/>
    <col min="3082" max="3328" width="8.85546875" style="146"/>
    <col min="3329" max="3329" width="9" style="146" customWidth="1"/>
    <col min="3330" max="3330" width="10.85546875" style="146" customWidth="1"/>
    <col min="3331" max="3331" width="20.28515625" style="146" customWidth="1"/>
    <col min="3332" max="3332" width="6.28515625" style="146" customWidth="1"/>
    <col min="3333" max="3333" width="10" style="146" customWidth="1"/>
    <col min="3334" max="3334" width="9.85546875" style="146" customWidth="1"/>
    <col min="3335" max="3335" width="7.42578125" style="146" customWidth="1"/>
    <col min="3336" max="3336" width="9.42578125" style="146" customWidth="1"/>
    <col min="3337" max="3337" width="6.7109375" style="146" customWidth="1"/>
    <col min="3338" max="3584" width="8.85546875" style="146"/>
    <col min="3585" max="3585" width="9" style="146" customWidth="1"/>
    <col min="3586" max="3586" width="10.85546875" style="146" customWidth="1"/>
    <col min="3587" max="3587" width="20.28515625" style="146" customWidth="1"/>
    <col min="3588" max="3588" width="6.28515625" style="146" customWidth="1"/>
    <col min="3589" max="3589" width="10" style="146" customWidth="1"/>
    <col min="3590" max="3590" width="9.85546875" style="146" customWidth="1"/>
    <col min="3591" max="3591" width="7.42578125" style="146" customWidth="1"/>
    <col min="3592" max="3592" width="9.42578125" style="146" customWidth="1"/>
    <col min="3593" max="3593" width="6.7109375" style="146" customWidth="1"/>
    <col min="3594" max="3840" width="8.85546875" style="146"/>
    <col min="3841" max="3841" width="9" style="146" customWidth="1"/>
    <col min="3842" max="3842" width="10.85546875" style="146" customWidth="1"/>
    <col min="3843" max="3843" width="20.28515625" style="146" customWidth="1"/>
    <col min="3844" max="3844" width="6.28515625" style="146" customWidth="1"/>
    <col min="3845" max="3845" width="10" style="146" customWidth="1"/>
    <col min="3846" max="3846" width="9.85546875" style="146" customWidth="1"/>
    <col min="3847" max="3847" width="7.42578125" style="146" customWidth="1"/>
    <col min="3848" max="3848" width="9.42578125" style="146" customWidth="1"/>
    <col min="3849" max="3849" width="6.7109375" style="146" customWidth="1"/>
    <col min="3850" max="4096" width="8.85546875" style="146"/>
    <col min="4097" max="4097" width="9" style="146" customWidth="1"/>
    <col min="4098" max="4098" width="10.85546875" style="146" customWidth="1"/>
    <col min="4099" max="4099" width="20.28515625" style="146" customWidth="1"/>
    <col min="4100" max="4100" width="6.28515625" style="146" customWidth="1"/>
    <col min="4101" max="4101" width="10" style="146" customWidth="1"/>
    <col min="4102" max="4102" width="9.85546875" style="146" customWidth="1"/>
    <col min="4103" max="4103" width="7.42578125" style="146" customWidth="1"/>
    <col min="4104" max="4104" width="9.42578125" style="146" customWidth="1"/>
    <col min="4105" max="4105" width="6.7109375" style="146" customWidth="1"/>
    <col min="4106" max="4352" width="8.85546875" style="146"/>
    <col min="4353" max="4353" width="9" style="146" customWidth="1"/>
    <col min="4354" max="4354" width="10.85546875" style="146" customWidth="1"/>
    <col min="4355" max="4355" width="20.28515625" style="146" customWidth="1"/>
    <col min="4356" max="4356" width="6.28515625" style="146" customWidth="1"/>
    <col min="4357" max="4357" width="10" style="146" customWidth="1"/>
    <col min="4358" max="4358" width="9.85546875" style="146" customWidth="1"/>
    <col min="4359" max="4359" width="7.42578125" style="146" customWidth="1"/>
    <col min="4360" max="4360" width="9.42578125" style="146" customWidth="1"/>
    <col min="4361" max="4361" width="6.7109375" style="146" customWidth="1"/>
    <col min="4362" max="4608" width="8.85546875" style="146"/>
    <col min="4609" max="4609" width="9" style="146" customWidth="1"/>
    <col min="4610" max="4610" width="10.85546875" style="146" customWidth="1"/>
    <col min="4611" max="4611" width="20.28515625" style="146" customWidth="1"/>
    <col min="4612" max="4612" width="6.28515625" style="146" customWidth="1"/>
    <col min="4613" max="4613" width="10" style="146" customWidth="1"/>
    <col min="4614" max="4614" width="9.85546875" style="146" customWidth="1"/>
    <col min="4615" max="4615" width="7.42578125" style="146" customWidth="1"/>
    <col min="4616" max="4616" width="9.42578125" style="146" customWidth="1"/>
    <col min="4617" max="4617" width="6.7109375" style="146" customWidth="1"/>
    <col min="4618" max="4864" width="8.85546875" style="146"/>
    <col min="4865" max="4865" width="9" style="146" customWidth="1"/>
    <col min="4866" max="4866" width="10.85546875" style="146" customWidth="1"/>
    <col min="4867" max="4867" width="20.28515625" style="146" customWidth="1"/>
    <col min="4868" max="4868" width="6.28515625" style="146" customWidth="1"/>
    <col min="4869" max="4869" width="10" style="146" customWidth="1"/>
    <col min="4870" max="4870" width="9.85546875" style="146" customWidth="1"/>
    <col min="4871" max="4871" width="7.42578125" style="146" customWidth="1"/>
    <col min="4872" max="4872" width="9.42578125" style="146" customWidth="1"/>
    <col min="4873" max="4873" width="6.7109375" style="146" customWidth="1"/>
    <col min="4874" max="5120" width="8.85546875" style="146"/>
    <col min="5121" max="5121" width="9" style="146" customWidth="1"/>
    <col min="5122" max="5122" width="10.85546875" style="146" customWidth="1"/>
    <col min="5123" max="5123" width="20.28515625" style="146" customWidth="1"/>
    <col min="5124" max="5124" width="6.28515625" style="146" customWidth="1"/>
    <col min="5125" max="5125" width="10" style="146" customWidth="1"/>
    <col min="5126" max="5126" width="9.85546875" style="146" customWidth="1"/>
    <col min="5127" max="5127" width="7.42578125" style="146" customWidth="1"/>
    <col min="5128" max="5128" width="9.42578125" style="146" customWidth="1"/>
    <col min="5129" max="5129" width="6.7109375" style="146" customWidth="1"/>
    <col min="5130" max="5376" width="8.85546875" style="146"/>
    <col min="5377" max="5377" width="9" style="146" customWidth="1"/>
    <col min="5378" max="5378" width="10.85546875" style="146" customWidth="1"/>
    <col min="5379" max="5379" width="20.28515625" style="146" customWidth="1"/>
    <col min="5380" max="5380" width="6.28515625" style="146" customWidth="1"/>
    <col min="5381" max="5381" width="10" style="146" customWidth="1"/>
    <col min="5382" max="5382" width="9.85546875" style="146" customWidth="1"/>
    <col min="5383" max="5383" width="7.42578125" style="146" customWidth="1"/>
    <col min="5384" max="5384" width="9.42578125" style="146" customWidth="1"/>
    <col min="5385" max="5385" width="6.7109375" style="146" customWidth="1"/>
    <col min="5386" max="5632" width="8.85546875" style="146"/>
    <col min="5633" max="5633" width="9" style="146" customWidth="1"/>
    <col min="5634" max="5634" width="10.85546875" style="146" customWidth="1"/>
    <col min="5635" max="5635" width="20.28515625" style="146" customWidth="1"/>
    <col min="5636" max="5636" width="6.28515625" style="146" customWidth="1"/>
    <col min="5637" max="5637" width="10" style="146" customWidth="1"/>
    <col min="5638" max="5638" width="9.85546875" style="146" customWidth="1"/>
    <col min="5639" max="5639" width="7.42578125" style="146" customWidth="1"/>
    <col min="5640" max="5640" width="9.42578125" style="146" customWidth="1"/>
    <col min="5641" max="5641" width="6.7109375" style="146" customWidth="1"/>
    <col min="5642" max="5888" width="8.85546875" style="146"/>
    <col min="5889" max="5889" width="9" style="146" customWidth="1"/>
    <col min="5890" max="5890" width="10.85546875" style="146" customWidth="1"/>
    <col min="5891" max="5891" width="20.28515625" style="146" customWidth="1"/>
    <col min="5892" max="5892" width="6.28515625" style="146" customWidth="1"/>
    <col min="5893" max="5893" width="10" style="146" customWidth="1"/>
    <col min="5894" max="5894" width="9.85546875" style="146" customWidth="1"/>
    <col min="5895" max="5895" width="7.42578125" style="146" customWidth="1"/>
    <col min="5896" max="5896" width="9.42578125" style="146" customWidth="1"/>
    <col min="5897" max="5897" width="6.7109375" style="146" customWidth="1"/>
    <col min="5898" max="6144" width="8.85546875" style="146"/>
    <col min="6145" max="6145" width="9" style="146" customWidth="1"/>
    <col min="6146" max="6146" width="10.85546875" style="146" customWidth="1"/>
    <col min="6147" max="6147" width="20.28515625" style="146" customWidth="1"/>
    <col min="6148" max="6148" width="6.28515625" style="146" customWidth="1"/>
    <col min="6149" max="6149" width="10" style="146" customWidth="1"/>
    <col min="6150" max="6150" width="9.85546875" style="146" customWidth="1"/>
    <col min="6151" max="6151" width="7.42578125" style="146" customWidth="1"/>
    <col min="6152" max="6152" width="9.42578125" style="146" customWidth="1"/>
    <col min="6153" max="6153" width="6.7109375" style="146" customWidth="1"/>
    <col min="6154" max="6400" width="8.85546875" style="146"/>
    <col min="6401" max="6401" width="9" style="146" customWidth="1"/>
    <col min="6402" max="6402" width="10.85546875" style="146" customWidth="1"/>
    <col min="6403" max="6403" width="20.28515625" style="146" customWidth="1"/>
    <col min="6404" max="6404" width="6.28515625" style="146" customWidth="1"/>
    <col min="6405" max="6405" width="10" style="146" customWidth="1"/>
    <col min="6406" max="6406" width="9.85546875" style="146" customWidth="1"/>
    <col min="6407" max="6407" width="7.42578125" style="146" customWidth="1"/>
    <col min="6408" max="6408" width="9.42578125" style="146" customWidth="1"/>
    <col min="6409" max="6409" width="6.7109375" style="146" customWidth="1"/>
    <col min="6410" max="6656" width="8.85546875" style="146"/>
    <col min="6657" max="6657" width="9" style="146" customWidth="1"/>
    <col min="6658" max="6658" width="10.85546875" style="146" customWidth="1"/>
    <col min="6659" max="6659" width="20.28515625" style="146" customWidth="1"/>
    <col min="6660" max="6660" width="6.28515625" style="146" customWidth="1"/>
    <col min="6661" max="6661" width="10" style="146" customWidth="1"/>
    <col min="6662" max="6662" width="9.85546875" style="146" customWidth="1"/>
    <col min="6663" max="6663" width="7.42578125" style="146" customWidth="1"/>
    <col min="6664" max="6664" width="9.42578125" style="146" customWidth="1"/>
    <col min="6665" max="6665" width="6.7109375" style="146" customWidth="1"/>
    <col min="6666" max="6912" width="8.85546875" style="146"/>
    <col min="6913" max="6913" width="9" style="146" customWidth="1"/>
    <col min="6914" max="6914" width="10.85546875" style="146" customWidth="1"/>
    <col min="6915" max="6915" width="20.28515625" style="146" customWidth="1"/>
    <col min="6916" max="6916" width="6.28515625" style="146" customWidth="1"/>
    <col min="6917" max="6917" width="10" style="146" customWidth="1"/>
    <col min="6918" max="6918" width="9.85546875" style="146" customWidth="1"/>
    <col min="6919" max="6919" width="7.42578125" style="146" customWidth="1"/>
    <col min="6920" max="6920" width="9.42578125" style="146" customWidth="1"/>
    <col min="6921" max="6921" width="6.7109375" style="146" customWidth="1"/>
    <col min="6922" max="7168" width="8.85546875" style="146"/>
    <col min="7169" max="7169" width="9" style="146" customWidth="1"/>
    <col min="7170" max="7170" width="10.85546875" style="146" customWidth="1"/>
    <col min="7171" max="7171" width="20.28515625" style="146" customWidth="1"/>
    <col min="7172" max="7172" width="6.28515625" style="146" customWidth="1"/>
    <col min="7173" max="7173" width="10" style="146" customWidth="1"/>
    <col min="7174" max="7174" width="9.85546875" style="146" customWidth="1"/>
    <col min="7175" max="7175" width="7.42578125" style="146" customWidth="1"/>
    <col min="7176" max="7176" width="9.42578125" style="146" customWidth="1"/>
    <col min="7177" max="7177" width="6.7109375" style="146" customWidth="1"/>
    <col min="7178" max="7424" width="8.85546875" style="146"/>
    <col min="7425" max="7425" width="9" style="146" customWidth="1"/>
    <col min="7426" max="7426" width="10.85546875" style="146" customWidth="1"/>
    <col min="7427" max="7427" width="20.28515625" style="146" customWidth="1"/>
    <col min="7428" max="7428" width="6.28515625" style="146" customWidth="1"/>
    <col min="7429" max="7429" width="10" style="146" customWidth="1"/>
    <col min="7430" max="7430" width="9.85546875" style="146" customWidth="1"/>
    <col min="7431" max="7431" width="7.42578125" style="146" customWidth="1"/>
    <col min="7432" max="7432" width="9.42578125" style="146" customWidth="1"/>
    <col min="7433" max="7433" width="6.7109375" style="146" customWidth="1"/>
    <col min="7434" max="7680" width="8.85546875" style="146"/>
    <col min="7681" max="7681" width="9" style="146" customWidth="1"/>
    <col min="7682" max="7682" width="10.85546875" style="146" customWidth="1"/>
    <col min="7683" max="7683" width="20.28515625" style="146" customWidth="1"/>
    <col min="7684" max="7684" width="6.28515625" style="146" customWidth="1"/>
    <col min="7685" max="7685" width="10" style="146" customWidth="1"/>
    <col min="7686" max="7686" width="9.85546875" style="146" customWidth="1"/>
    <col min="7687" max="7687" width="7.42578125" style="146" customWidth="1"/>
    <col min="7688" max="7688" width="9.42578125" style="146" customWidth="1"/>
    <col min="7689" max="7689" width="6.7109375" style="146" customWidth="1"/>
    <col min="7690" max="7936" width="8.85546875" style="146"/>
    <col min="7937" max="7937" width="9" style="146" customWidth="1"/>
    <col min="7938" max="7938" width="10.85546875" style="146" customWidth="1"/>
    <col min="7939" max="7939" width="20.28515625" style="146" customWidth="1"/>
    <col min="7940" max="7940" width="6.28515625" style="146" customWidth="1"/>
    <col min="7941" max="7941" width="10" style="146" customWidth="1"/>
    <col min="7942" max="7942" width="9.85546875" style="146" customWidth="1"/>
    <col min="7943" max="7943" width="7.42578125" style="146" customWidth="1"/>
    <col min="7944" max="7944" width="9.42578125" style="146" customWidth="1"/>
    <col min="7945" max="7945" width="6.7109375" style="146" customWidth="1"/>
    <col min="7946" max="8192" width="8.85546875" style="146"/>
    <col min="8193" max="8193" width="9" style="146" customWidth="1"/>
    <col min="8194" max="8194" width="10.85546875" style="146" customWidth="1"/>
    <col min="8195" max="8195" width="20.28515625" style="146" customWidth="1"/>
    <col min="8196" max="8196" width="6.28515625" style="146" customWidth="1"/>
    <col min="8197" max="8197" width="10" style="146" customWidth="1"/>
    <col min="8198" max="8198" width="9.85546875" style="146" customWidth="1"/>
    <col min="8199" max="8199" width="7.42578125" style="146" customWidth="1"/>
    <col min="8200" max="8200" width="9.42578125" style="146" customWidth="1"/>
    <col min="8201" max="8201" width="6.7109375" style="146" customWidth="1"/>
    <col min="8202" max="8448" width="8.85546875" style="146"/>
    <col min="8449" max="8449" width="9" style="146" customWidth="1"/>
    <col min="8450" max="8450" width="10.85546875" style="146" customWidth="1"/>
    <col min="8451" max="8451" width="20.28515625" style="146" customWidth="1"/>
    <col min="8452" max="8452" width="6.28515625" style="146" customWidth="1"/>
    <col min="8453" max="8453" width="10" style="146" customWidth="1"/>
    <col min="8454" max="8454" width="9.85546875" style="146" customWidth="1"/>
    <col min="8455" max="8455" width="7.42578125" style="146" customWidth="1"/>
    <col min="8456" max="8456" width="9.42578125" style="146" customWidth="1"/>
    <col min="8457" max="8457" width="6.7109375" style="146" customWidth="1"/>
    <col min="8458" max="8704" width="8.85546875" style="146"/>
    <col min="8705" max="8705" width="9" style="146" customWidth="1"/>
    <col min="8706" max="8706" width="10.85546875" style="146" customWidth="1"/>
    <col min="8707" max="8707" width="20.28515625" style="146" customWidth="1"/>
    <col min="8708" max="8708" width="6.28515625" style="146" customWidth="1"/>
    <col min="8709" max="8709" width="10" style="146" customWidth="1"/>
    <col min="8710" max="8710" width="9.85546875" style="146" customWidth="1"/>
    <col min="8711" max="8711" width="7.42578125" style="146" customWidth="1"/>
    <col min="8712" max="8712" width="9.42578125" style="146" customWidth="1"/>
    <col min="8713" max="8713" width="6.7109375" style="146" customWidth="1"/>
    <col min="8714" max="8960" width="8.85546875" style="146"/>
    <col min="8961" max="8961" width="9" style="146" customWidth="1"/>
    <col min="8962" max="8962" width="10.85546875" style="146" customWidth="1"/>
    <col min="8963" max="8963" width="20.28515625" style="146" customWidth="1"/>
    <col min="8964" max="8964" width="6.28515625" style="146" customWidth="1"/>
    <col min="8965" max="8965" width="10" style="146" customWidth="1"/>
    <col min="8966" max="8966" width="9.85546875" style="146" customWidth="1"/>
    <col min="8967" max="8967" width="7.42578125" style="146" customWidth="1"/>
    <col min="8968" max="8968" width="9.42578125" style="146" customWidth="1"/>
    <col min="8969" max="8969" width="6.7109375" style="146" customWidth="1"/>
    <col min="8970" max="9216" width="8.85546875" style="146"/>
    <col min="9217" max="9217" width="9" style="146" customWidth="1"/>
    <col min="9218" max="9218" width="10.85546875" style="146" customWidth="1"/>
    <col min="9219" max="9219" width="20.28515625" style="146" customWidth="1"/>
    <col min="9220" max="9220" width="6.28515625" style="146" customWidth="1"/>
    <col min="9221" max="9221" width="10" style="146" customWidth="1"/>
    <col min="9222" max="9222" width="9.85546875" style="146" customWidth="1"/>
    <col min="9223" max="9223" width="7.42578125" style="146" customWidth="1"/>
    <col min="9224" max="9224" width="9.42578125" style="146" customWidth="1"/>
    <col min="9225" max="9225" width="6.7109375" style="146" customWidth="1"/>
    <col min="9226" max="9472" width="8.85546875" style="146"/>
    <col min="9473" max="9473" width="9" style="146" customWidth="1"/>
    <col min="9474" max="9474" width="10.85546875" style="146" customWidth="1"/>
    <col min="9475" max="9475" width="20.28515625" style="146" customWidth="1"/>
    <col min="9476" max="9476" width="6.28515625" style="146" customWidth="1"/>
    <col min="9477" max="9477" width="10" style="146" customWidth="1"/>
    <col min="9478" max="9478" width="9.85546875" style="146" customWidth="1"/>
    <col min="9479" max="9479" width="7.42578125" style="146" customWidth="1"/>
    <col min="9480" max="9480" width="9.42578125" style="146" customWidth="1"/>
    <col min="9481" max="9481" width="6.7109375" style="146" customWidth="1"/>
    <col min="9482" max="9728" width="8.85546875" style="146"/>
    <col min="9729" max="9729" width="9" style="146" customWidth="1"/>
    <col min="9730" max="9730" width="10.85546875" style="146" customWidth="1"/>
    <col min="9731" max="9731" width="20.28515625" style="146" customWidth="1"/>
    <col min="9732" max="9732" width="6.28515625" style="146" customWidth="1"/>
    <col min="9733" max="9733" width="10" style="146" customWidth="1"/>
    <col min="9734" max="9734" width="9.85546875" style="146" customWidth="1"/>
    <col min="9735" max="9735" width="7.42578125" style="146" customWidth="1"/>
    <col min="9736" max="9736" width="9.42578125" style="146" customWidth="1"/>
    <col min="9737" max="9737" width="6.7109375" style="146" customWidth="1"/>
    <col min="9738" max="9984" width="8.85546875" style="146"/>
    <col min="9985" max="9985" width="9" style="146" customWidth="1"/>
    <col min="9986" max="9986" width="10.85546875" style="146" customWidth="1"/>
    <col min="9987" max="9987" width="20.28515625" style="146" customWidth="1"/>
    <col min="9988" max="9988" width="6.28515625" style="146" customWidth="1"/>
    <col min="9989" max="9989" width="10" style="146" customWidth="1"/>
    <col min="9990" max="9990" width="9.85546875" style="146" customWidth="1"/>
    <col min="9991" max="9991" width="7.42578125" style="146" customWidth="1"/>
    <col min="9992" max="9992" width="9.42578125" style="146" customWidth="1"/>
    <col min="9993" max="9993" width="6.7109375" style="146" customWidth="1"/>
    <col min="9994" max="10240" width="8.85546875" style="146"/>
    <col min="10241" max="10241" width="9" style="146" customWidth="1"/>
    <col min="10242" max="10242" width="10.85546875" style="146" customWidth="1"/>
    <col min="10243" max="10243" width="20.28515625" style="146" customWidth="1"/>
    <col min="10244" max="10244" width="6.28515625" style="146" customWidth="1"/>
    <col min="10245" max="10245" width="10" style="146" customWidth="1"/>
    <col min="10246" max="10246" width="9.85546875" style="146" customWidth="1"/>
    <col min="10247" max="10247" width="7.42578125" style="146" customWidth="1"/>
    <col min="10248" max="10248" width="9.42578125" style="146" customWidth="1"/>
    <col min="10249" max="10249" width="6.7109375" style="146" customWidth="1"/>
    <col min="10250" max="10496" width="8.85546875" style="146"/>
    <col min="10497" max="10497" width="9" style="146" customWidth="1"/>
    <col min="10498" max="10498" width="10.85546875" style="146" customWidth="1"/>
    <col min="10499" max="10499" width="20.28515625" style="146" customWidth="1"/>
    <col min="10500" max="10500" width="6.28515625" style="146" customWidth="1"/>
    <col min="10501" max="10501" width="10" style="146" customWidth="1"/>
    <col min="10502" max="10502" width="9.85546875" style="146" customWidth="1"/>
    <col min="10503" max="10503" width="7.42578125" style="146" customWidth="1"/>
    <col min="10504" max="10504" width="9.42578125" style="146" customWidth="1"/>
    <col min="10505" max="10505" width="6.7109375" style="146" customWidth="1"/>
    <col min="10506" max="10752" width="8.85546875" style="146"/>
    <col min="10753" max="10753" width="9" style="146" customWidth="1"/>
    <col min="10754" max="10754" width="10.85546875" style="146" customWidth="1"/>
    <col min="10755" max="10755" width="20.28515625" style="146" customWidth="1"/>
    <col min="10756" max="10756" width="6.28515625" style="146" customWidth="1"/>
    <col min="10757" max="10757" width="10" style="146" customWidth="1"/>
    <col min="10758" max="10758" width="9.85546875" style="146" customWidth="1"/>
    <col min="10759" max="10759" width="7.42578125" style="146" customWidth="1"/>
    <col min="10760" max="10760" width="9.42578125" style="146" customWidth="1"/>
    <col min="10761" max="10761" width="6.7109375" style="146" customWidth="1"/>
    <col min="10762" max="11008" width="8.85546875" style="146"/>
    <col min="11009" max="11009" width="9" style="146" customWidth="1"/>
    <col min="11010" max="11010" width="10.85546875" style="146" customWidth="1"/>
    <col min="11011" max="11011" width="20.28515625" style="146" customWidth="1"/>
    <col min="11012" max="11012" width="6.28515625" style="146" customWidth="1"/>
    <col min="11013" max="11013" width="10" style="146" customWidth="1"/>
    <col min="11014" max="11014" width="9.85546875" style="146" customWidth="1"/>
    <col min="11015" max="11015" width="7.42578125" style="146" customWidth="1"/>
    <col min="11016" max="11016" width="9.42578125" style="146" customWidth="1"/>
    <col min="11017" max="11017" width="6.7109375" style="146" customWidth="1"/>
    <col min="11018" max="11264" width="8.85546875" style="146"/>
    <col min="11265" max="11265" width="9" style="146" customWidth="1"/>
    <col min="11266" max="11266" width="10.85546875" style="146" customWidth="1"/>
    <col min="11267" max="11267" width="20.28515625" style="146" customWidth="1"/>
    <col min="11268" max="11268" width="6.28515625" style="146" customWidth="1"/>
    <col min="11269" max="11269" width="10" style="146" customWidth="1"/>
    <col min="11270" max="11270" width="9.85546875" style="146" customWidth="1"/>
    <col min="11271" max="11271" width="7.42578125" style="146" customWidth="1"/>
    <col min="11272" max="11272" width="9.42578125" style="146" customWidth="1"/>
    <col min="11273" max="11273" width="6.7109375" style="146" customWidth="1"/>
    <col min="11274" max="11520" width="8.85546875" style="146"/>
    <col min="11521" max="11521" width="9" style="146" customWidth="1"/>
    <col min="11522" max="11522" width="10.85546875" style="146" customWidth="1"/>
    <col min="11523" max="11523" width="20.28515625" style="146" customWidth="1"/>
    <col min="11524" max="11524" width="6.28515625" style="146" customWidth="1"/>
    <col min="11525" max="11525" width="10" style="146" customWidth="1"/>
    <col min="11526" max="11526" width="9.85546875" style="146" customWidth="1"/>
    <col min="11527" max="11527" width="7.42578125" style="146" customWidth="1"/>
    <col min="11528" max="11528" width="9.42578125" style="146" customWidth="1"/>
    <col min="11529" max="11529" width="6.7109375" style="146" customWidth="1"/>
    <col min="11530" max="11776" width="8.85546875" style="146"/>
    <col min="11777" max="11777" width="9" style="146" customWidth="1"/>
    <col min="11778" max="11778" width="10.85546875" style="146" customWidth="1"/>
    <col min="11779" max="11779" width="20.28515625" style="146" customWidth="1"/>
    <col min="11780" max="11780" width="6.28515625" style="146" customWidth="1"/>
    <col min="11781" max="11781" width="10" style="146" customWidth="1"/>
    <col min="11782" max="11782" width="9.85546875" style="146" customWidth="1"/>
    <col min="11783" max="11783" width="7.42578125" style="146" customWidth="1"/>
    <col min="11784" max="11784" width="9.42578125" style="146" customWidth="1"/>
    <col min="11785" max="11785" width="6.7109375" style="146" customWidth="1"/>
    <col min="11786" max="12032" width="8.85546875" style="146"/>
    <col min="12033" max="12033" width="9" style="146" customWidth="1"/>
    <col min="12034" max="12034" width="10.85546875" style="146" customWidth="1"/>
    <col min="12035" max="12035" width="20.28515625" style="146" customWidth="1"/>
    <col min="12036" max="12036" width="6.28515625" style="146" customWidth="1"/>
    <col min="12037" max="12037" width="10" style="146" customWidth="1"/>
    <col min="12038" max="12038" width="9.85546875" style="146" customWidth="1"/>
    <col min="12039" max="12039" width="7.42578125" style="146" customWidth="1"/>
    <col min="12040" max="12040" width="9.42578125" style="146" customWidth="1"/>
    <col min="12041" max="12041" width="6.7109375" style="146" customWidth="1"/>
    <col min="12042" max="12288" width="8.85546875" style="146"/>
    <col min="12289" max="12289" width="9" style="146" customWidth="1"/>
    <col min="12290" max="12290" width="10.85546875" style="146" customWidth="1"/>
    <col min="12291" max="12291" width="20.28515625" style="146" customWidth="1"/>
    <col min="12292" max="12292" width="6.28515625" style="146" customWidth="1"/>
    <col min="12293" max="12293" width="10" style="146" customWidth="1"/>
    <col min="12294" max="12294" width="9.85546875" style="146" customWidth="1"/>
    <col min="12295" max="12295" width="7.42578125" style="146" customWidth="1"/>
    <col min="12296" max="12296" width="9.42578125" style="146" customWidth="1"/>
    <col min="12297" max="12297" width="6.7109375" style="146" customWidth="1"/>
    <col min="12298" max="12544" width="8.85546875" style="146"/>
    <col min="12545" max="12545" width="9" style="146" customWidth="1"/>
    <col min="12546" max="12546" width="10.85546875" style="146" customWidth="1"/>
    <col min="12547" max="12547" width="20.28515625" style="146" customWidth="1"/>
    <col min="12548" max="12548" width="6.28515625" style="146" customWidth="1"/>
    <col min="12549" max="12549" width="10" style="146" customWidth="1"/>
    <col min="12550" max="12550" width="9.85546875" style="146" customWidth="1"/>
    <col min="12551" max="12551" width="7.42578125" style="146" customWidth="1"/>
    <col min="12552" max="12552" width="9.42578125" style="146" customWidth="1"/>
    <col min="12553" max="12553" width="6.7109375" style="146" customWidth="1"/>
    <col min="12554" max="12800" width="8.85546875" style="146"/>
    <col min="12801" max="12801" width="9" style="146" customWidth="1"/>
    <col min="12802" max="12802" width="10.85546875" style="146" customWidth="1"/>
    <col min="12803" max="12803" width="20.28515625" style="146" customWidth="1"/>
    <col min="12804" max="12804" width="6.28515625" style="146" customWidth="1"/>
    <col min="12805" max="12805" width="10" style="146" customWidth="1"/>
    <col min="12806" max="12806" width="9.85546875" style="146" customWidth="1"/>
    <col min="12807" max="12807" width="7.42578125" style="146" customWidth="1"/>
    <col min="12808" max="12808" width="9.42578125" style="146" customWidth="1"/>
    <col min="12809" max="12809" width="6.7109375" style="146" customWidth="1"/>
    <col min="12810" max="13056" width="8.85546875" style="146"/>
    <col min="13057" max="13057" width="9" style="146" customWidth="1"/>
    <col min="13058" max="13058" width="10.85546875" style="146" customWidth="1"/>
    <col min="13059" max="13059" width="20.28515625" style="146" customWidth="1"/>
    <col min="13060" max="13060" width="6.28515625" style="146" customWidth="1"/>
    <col min="13061" max="13061" width="10" style="146" customWidth="1"/>
    <col min="13062" max="13062" width="9.85546875" style="146" customWidth="1"/>
    <col min="13063" max="13063" width="7.42578125" style="146" customWidth="1"/>
    <col min="13064" max="13064" width="9.42578125" style="146" customWidth="1"/>
    <col min="13065" max="13065" width="6.7109375" style="146" customWidth="1"/>
    <col min="13066" max="13312" width="8.85546875" style="146"/>
    <col min="13313" max="13313" width="9" style="146" customWidth="1"/>
    <col min="13314" max="13314" width="10.85546875" style="146" customWidth="1"/>
    <col min="13315" max="13315" width="20.28515625" style="146" customWidth="1"/>
    <col min="13316" max="13316" width="6.28515625" style="146" customWidth="1"/>
    <col min="13317" max="13317" width="10" style="146" customWidth="1"/>
    <col min="13318" max="13318" width="9.85546875" style="146" customWidth="1"/>
    <col min="13319" max="13319" width="7.42578125" style="146" customWidth="1"/>
    <col min="13320" max="13320" width="9.42578125" style="146" customWidth="1"/>
    <col min="13321" max="13321" width="6.7109375" style="146" customWidth="1"/>
    <col min="13322" max="13568" width="8.85546875" style="146"/>
    <col min="13569" max="13569" width="9" style="146" customWidth="1"/>
    <col min="13570" max="13570" width="10.85546875" style="146" customWidth="1"/>
    <col min="13571" max="13571" width="20.28515625" style="146" customWidth="1"/>
    <col min="13572" max="13572" width="6.28515625" style="146" customWidth="1"/>
    <col min="13573" max="13573" width="10" style="146" customWidth="1"/>
    <col min="13574" max="13574" width="9.85546875" style="146" customWidth="1"/>
    <col min="13575" max="13575" width="7.42578125" style="146" customWidth="1"/>
    <col min="13576" max="13576" width="9.42578125" style="146" customWidth="1"/>
    <col min="13577" max="13577" width="6.7109375" style="146" customWidth="1"/>
    <col min="13578" max="13824" width="8.85546875" style="146"/>
    <col min="13825" max="13825" width="9" style="146" customWidth="1"/>
    <col min="13826" max="13826" width="10.85546875" style="146" customWidth="1"/>
    <col min="13827" max="13827" width="20.28515625" style="146" customWidth="1"/>
    <col min="13828" max="13828" width="6.28515625" style="146" customWidth="1"/>
    <col min="13829" max="13829" width="10" style="146" customWidth="1"/>
    <col min="13830" max="13830" width="9.85546875" style="146" customWidth="1"/>
    <col min="13831" max="13831" width="7.42578125" style="146" customWidth="1"/>
    <col min="13832" max="13832" width="9.42578125" style="146" customWidth="1"/>
    <col min="13833" max="13833" width="6.7109375" style="146" customWidth="1"/>
    <col min="13834" max="14080" width="8.85546875" style="146"/>
    <col min="14081" max="14081" width="9" style="146" customWidth="1"/>
    <col min="14082" max="14082" width="10.85546875" style="146" customWidth="1"/>
    <col min="14083" max="14083" width="20.28515625" style="146" customWidth="1"/>
    <col min="14084" max="14084" width="6.28515625" style="146" customWidth="1"/>
    <col min="14085" max="14085" width="10" style="146" customWidth="1"/>
    <col min="14086" max="14086" width="9.85546875" style="146" customWidth="1"/>
    <col min="14087" max="14087" width="7.42578125" style="146" customWidth="1"/>
    <col min="14088" max="14088" width="9.42578125" style="146" customWidth="1"/>
    <col min="14089" max="14089" width="6.7109375" style="146" customWidth="1"/>
    <col min="14090" max="14336" width="8.85546875" style="146"/>
    <col min="14337" max="14337" width="9" style="146" customWidth="1"/>
    <col min="14338" max="14338" width="10.85546875" style="146" customWidth="1"/>
    <col min="14339" max="14339" width="20.28515625" style="146" customWidth="1"/>
    <col min="14340" max="14340" width="6.28515625" style="146" customWidth="1"/>
    <col min="14341" max="14341" width="10" style="146" customWidth="1"/>
    <col min="14342" max="14342" width="9.85546875" style="146" customWidth="1"/>
    <col min="14343" max="14343" width="7.42578125" style="146" customWidth="1"/>
    <col min="14344" max="14344" width="9.42578125" style="146" customWidth="1"/>
    <col min="14345" max="14345" width="6.7109375" style="146" customWidth="1"/>
    <col min="14346" max="14592" width="8.85546875" style="146"/>
    <col min="14593" max="14593" width="9" style="146" customWidth="1"/>
    <col min="14594" max="14594" width="10.85546875" style="146" customWidth="1"/>
    <col min="14595" max="14595" width="20.28515625" style="146" customWidth="1"/>
    <col min="14596" max="14596" width="6.28515625" style="146" customWidth="1"/>
    <col min="14597" max="14597" width="10" style="146" customWidth="1"/>
    <col min="14598" max="14598" width="9.85546875" style="146" customWidth="1"/>
    <col min="14599" max="14599" width="7.42578125" style="146" customWidth="1"/>
    <col min="14600" max="14600" width="9.42578125" style="146" customWidth="1"/>
    <col min="14601" max="14601" width="6.7109375" style="146" customWidth="1"/>
    <col min="14602" max="14848" width="8.85546875" style="146"/>
    <col min="14849" max="14849" width="9" style="146" customWidth="1"/>
    <col min="14850" max="14850" width="10.85546875" style="146" customWidth="1"/>
    <col min="14851" max="14851" width="20.28515625" style="146" customWidth="1"/>
    <col min="14852" max="14852" width="6.28515625" style="146" customWidth="1"/>
    <col min="14853" max="14853" width="10" style="146" customWidth="1"/>
    <col min="14854" max="14854" width="9.85546875" style="146" customWidth="1"/>
    <col min="14855" max="14855" width="7.42578125" style="146" customWidth="1"/>
    <col min="14856" max="14856" width="9.42578125" style="146" customWidth="1"/>
    <col min="14857" max="14857" width="6.7109375" style="146" customWidth="1"/>
    <col min="14858" max="15104" width="8.85546875" style="146"/>
    <col min="15105" max="15105" width="9" style="146" customWidth="1"/>
    <col min="15106" max="15106" width="10.85546875" style="146" customWidth="1"/>
    <col min="15107" max="15107" width="20.28515625" style="146" customWidth="1"/>
    <col min="15108" max="15108" width="6.28515625" style="146" customWidth="1"/>
    <col min="15109" max="15109" width="10" style="146" customWidth="1"/>
    <col min="15110" max="15110" width="9.85546875" style="146" customWidth="1"/>
    <col min="15111" max="15111" width="7.42578125" style="146" customWidth="1"/>
    <col min="15112" max="15112" width="9.42578125" style="146" customWidth="1"/>
    <col min="15113" max="15113" width="6.7109375" style="146" customWidth="1"/>
    <col min="15114" max="15360" width="8.85546875" style="146"/>
    <col min="15361" max="15361" width="9" style="146" customWidth="1"/>
    <col min="15362" max="15362" width="10.85546875" style="146" customWidth="1"/>
    <col min="15363" max="15363" width="20.28515625" style="146" customWidth="1"/>
    <col min="15364" max="15364" width="6.28515625" style="146" customWidth="1"/>
    <col min="15365" max="15365" width="10" style="146" customWidth="1"/>
    <col min="15366" max="15366" width="9.85546875" style="146" customWidth="1"/>
    <col min="15367" max="15367" width="7.42578125" style="146" customWidth="1"/>
    <col min="15368" max="15368" width="9.42578125" style="146" customWidth="1"/>
    <col min="15369" max="15369" width="6.7109375" style="146" customWidth="1"/>
    <col min="15370" max="15616" width="8.85546875" style="146"/>
    <col min="15617" max="15617" width="9" style="146" customWidth="1"/>
    <col min="15618" max="15618" width="10.85546875" style="146" customWidth="1"/>
    <col min="15619" max="15619" width="20.28515625" style="146" customWidth="1"/>
    <col min="15620" max="15620" width="6.28515625" style="146" customWidth="1"/>
    <col min="15621" max="15621" width="10" style="146" customWidth="1"/>
    <col min="15622" max="15622" width="9.85546875" style="146" customWidth="1"/>
    <col min="15623" max="15623" width="7.42578125" style="146" customWidth="1"/>
    <col min="15624" max="15624" width="9.42578125" style="146" customWidth="1"/>
    <col min="15625" max="15625" width="6.7109375" style="146" customWidth="1"/>
    <col min="15626" max="15872" width="8.85546875" style="146"/>
    <col min="15873" max="15873" width="9" style="146" customWidth="1"/>
    <col min="15874" max="15874" width="10.85546875" style="146" customWidth="1"/>
    <col min="15875" max="15875" width="20.28515625" style="146" customWidth="1"/>
    <col min="15876" max="15876" width="6.28515625" style="146" customWidth="1"/>
    <col min="15877" max="15877" width="10" style="146" customWidth="1"/>
    <col min="15878" max="15878" width="9.85546875" style="146" customWidth="1"/>
    <col min="15879" max="15879" width="7.42578125" style="146" customWidth="1"/>
    <col min="15880" max="15880" width="9.42578125" style="146" customWidth="1"/>
    <col min="15881" max="15881" width="6.7109375" style="146" customWidth="1"/>
    <col min="15882" max="16128" width="8.85546875" style="146"/>
    <col min="16129" max="16129" width="9" style="146" customWidth="1"/>
    <col min="16130" max="16130" width="10.85546875" style="146" customWidth="1"/>
    <col min="16131" max="16131" width="20.28515625" style="146" customWidth="1"/>
    <col min="16132" max="16132" width="6.28515625" style="146" customWidth="1"/>
    <col min="16133" max="16133" width="10" style="146" customWidth="1"/>
    <col min="16134" max="16134" width="9.85546875" style="146" customWidth="1"/>
    <col min="16135" max="16135" width="7.42578125" style="146" customWidth="1"/>
    <col min="16136" max="16136" width="9.42578125" style="146" customWidth="1"/>
    <col min="16137" max="16137" width="6.7109375" style="146" customWidth="1"/>
    <col min="16138" max="16384" width="8.85546875" style="146"/>
  </cols>
  <sheetData>
    <row r="1" spans="1:11" ht="12.6" customHeight="1" x14ac:dyDescent="0.25">
      <c r="A1" s="236"/>
      <c r="B1" s="236"/>
      <c r="C1" s="236"/>
      <c r="D1" s="236"/>
      <c r="E1" s="236"/>
      <c r="F1" s="236"/>
      <c r="G1" s="236"/>
      <c r="H1" s="236"/>
      <c r="I1" s="236"/>
    </row>
    <row r="2" spans="1:11" ht="12.6" customHeight="1" x14ac:dyDescent="0.4">
      <c r="A2" s="261" t="s">
        <v>82</v>
      </c>
      <c r="B2" s="261"/>
      <c r="C2" s="261"/>
      <c r="D2" s="261"/>
      <c r="E2" s="261"/>
      <c r="F2" s="261"/>
      <c r="G2" s="261"/>
      <c r="H2" s="261"/>
      <c r="I2" s="261"/>
    </row>
    <row r="3" spans="1:11" ht="12.6" customHeight="1" x14ac:dyDescent="0.25">
      <c r="A3" s="236"/>
      <c r="B3" s="236"/>
      <c r="C3" s="236"/>
      <c r="D3" s="236"/>
      <c r="E3" s="236"/>
      <c r="F3" s="236"/>
      <c r="G3" s="236"/>
      <c r="H3" s="236"/>
      <c r="I3" s="236"/>
    </row>
    <row r="4" spans="1:11" ht="12.6" customHeight="1" x14ac:dyDescent="0.25">
      <c r="A4" s="34" t="s">
        <v>81</v>
      </c>
      <c r="B4" s="263" t="s">
        <v>80</v>
      </c>
      <c r="C4" s="263"/>
      <c r="D4" s="39"/>
      <c r="E4" s="39"/>
      <c r="F4" s="39"/>
      <c r="G4" s="39"/>
      <c r="H4" s="39"/>
      <c r="I4" s="39"/>
    </row>
    <row r="5" spans="1:11" ht="12.6" customHeight="1" x14ac:dyDescent="0.25">
      <c r="A5" s="236"/>
      <c r="B5" s="236"/>
      <c r="C5" s="236"/>
      <c r="D5" s="236"/>
      <c r="E5" s="236"/>
      <c r="F5" s="236"/>
      <c r="G5" s="236"/>
      <c r="H5" s="236"/>
      <c r="I5" s="236"/>
    </row>
    <row r="6" spans="1:11" ht="12.6" customHeight="1" x14ac:dyDescent="0.25">
      <c r="A6" s="260" t="s">
        <v>79</v>
      </c>
      <c r="B6" s="260"/>
      <c r="C6" s="38" t="s">
        <v>334</v>
      </c>
      <c r="D6" s="264"/>
      <c r="E6" s="264"/>
      <c r="F6" s="264"/>
      <c r="G6" s="264"/>
      <c r="H6" s="264"/>
      <c r="I6" s="264"/>
    </row>
    <row r="7" spans="1:11" ht="12.6" customHeight="1" x14ac:dyDescent="0.25">
      <c r="A7" s="236"/>
      <c r="B7" s="236"/>
      <c r="C7" s="236"/>
      <c r="D7" s="236"/>
      <c r="E7" s="236"/>
      <c r="F7" s="236"/>
      <c r="G7" s="236"/>
      <c r="H7" s="236"/>
      <c r="I7" s="236"/>
    </row>
    <row r="8" spans="1:11" ht="12.6" customHeight="1" x14ac:dyDescent="0.25">
      <c r="A8" s="260" t="s">
        <v>78</v>
      </c>
      <c r="B8" s="260"/>
      <c r="C8" s="37" t="s">
        <v>263</v>
      </c>
      <c r="D8" s="149" t="s">
        <v>76</v>
      </c>
      <c r="E8" s="36" t="s">
        <v>264</v>
      </c>
      <c r="F8" s="149"/>
      <c r="G8" s="149"/>
      <c r="H8" s="149"/>
      <c r="I8" s="149"/>
    </row>
    <row r="9" spans="1:11" ht="12.6" customHeight="1" x14ac:dyDescent="0.25">
      <c r="A9" s="236"/>
      <c r="B9" s="236"/>
      <c r="C9" s="236"/>
      <c r="D9" s="236"/>
      <c r="E9" s="236"/>
      <c r="F9" s="236"/>
      <c r="G9" s="236"/>
      <c r="H9" s="236"/>
      <c r="I9" s="236"/>
    </row>
    <row r="10" spans="1:11" ht="12.6" customHeight="1" x14ac:dyDescent="0.25">
      <c r="A10" s="260" t="s">
        <v>74</v>
      </c>
      <c r="B10" s="260"/>
      <c r="C10" s="37"/>
      <c r="D10" s="149" t="s">
        <v>73</v>
      </c>
      <c r="E10" s="149"/>
      <c r="F10" s="149"/>
      <c r="G10" s="38" t="s">
        <v>334</v>
      </c>
      <c r="H10" s="149"/>
      <c r="I10" s="149"/>
      <c r="K10" s="35" t="s">
        <v>71</v>
      </c>
    </row>
    <row r="11" spans="1:11" ht="12.6" customHeight="1" x14ac:dyDescent="0.25">
      <c r="A11" s="236"/>
      <c r="B11" s="236"/>
      <c r="C11" s="236"/>
      <c r="D11" s="236"/>
      <c r="E11" s="236"/>
      <c r="F11" s="236"/>
      <c r="G11" s="236"/>
      <c r="H11" s="236"/>
      <c r="I11" s="236"/>
      <c r="K11" s="6">
        <f>SUM(K17:K64)</f>
        <v>669.78000000000009</v>
      </c>
    </row>
    <row r="12" spans="1:11" ht="12.6" customHeight="1" x14ac:dyDescent="0.25">
      <c r="A12" s="34"/>
      <c r="B12" s="33"/>
      <c r="C12" s="33"/>
      <c r="D12" s="260"/>
      <c r="E12" s="260"/>
      <c r="F12" s="260"/>
      <c r="G12" s="260"/>
      <c r="H12" s="260"/>
      <c r="I12" s="260"/>
    </row>
    <row r="13" spans="1:11" ht="12.6" customHeight="1" x14ac:dyDescent="0.25">
      <c r="A13" s="236"/>
      <c r="B13" s="236"/>
      <c r="C13" s="236"/>
      <c r="D13" s="236"/>
      <c r="E13" s="236"/>
      <c r="F13" s="236"/>
      <c r="G13" s="236"/>
      <c r="H13" s="236"/>
      <c r="I13" s="236"/>
    </row>
    <row r="14" spans="1:11" ht="12.6" customHeight="1" x14ac:dyDescent="0.25">
      <c r="A14" s="272"/>
      <c r="B14" s="272"/>
      <c r="C14" s="272"/>
      <c r="D14" s="272"/>
      <c r="E14" s="272"/>
      <c r="F14" s="272"/>
      <c r="G14" s="272"/>
      <c r="H14" s="272"/>
      <c r="I14" s="272"/>
    </row>
    <row r="15" spans="1:11" ht="12.6" customHeight="1" x14ac:dyDescent="0.2">
      <c r="A15" s="253" t="s">
        <v>65</v>
      </c>
      <c r="B15" s="254"/>
      <c r="C15" s="275" t="s">
        <v>70</v>
      </c>
      <c r="D15" s="276"/>
      <c r="E15" s="253" t="s">
        <v>61</v>
      </c>
      <c r="F15" s="254"/>
      <c r="G15" s="258" t="s">
        <v>69</v>
      </c>
      <c r="H15" s="255" t="s">
        <v>68</v>
      </c>
      <c r="I15" s="258" t="s">
        <v>67</v>
      </c>
      <c r="J15" s="251" t="s">
        <v>66</v>
      </c>
      <c r="K15" s="252"/>
    </row>
    <row r="16" spans="1:11" ht="12.6" customHeight="1" x14ac:dyDescent="0.2">
      <c r="A16" s="42" t="s">
        <v>65</v>
      </c>
      <c r="B16" s="148" t="s">
        <v>64</v>
      </c>
      <c r="C16" s="277"/>
      <c r="D16" s="278"/>
      <c r="E16" s="148" t="s">
        <v>63</v>
      </c>
      <c r="F16" s="148" t="s">
        <v>62</v>
      </c>
      <c r="G16" s="273"/>
      <c r="H16" s="274"/>
      <c r="I16" s="273"/>
      <c r="J16" s="43" t="s">
        <v>61</v>
      </c>
      <c r="K16" s="44" t="s">
        <v>60</v>
      </c>
    </row>
    <row r="17" spans="1:12" ht="12.6" customHeight="1" x14ac:dyDescent="0.3">
      <c r="A17" s="31">
        <v>40848</v>
      </c>
      <c r="B17" s="145"/>
      <c r="C17" s="249" t="s">
        <v>265</v>
      </c>
      <c r="D17" s="250"/>
      <c r="E17" s="30"/>
      <c r="F17" s="27">
        <v>10</v>
      </c>
      <c r="G17" s="26"/>
      <c r="H17" s="145"/>
      <c r="I17" s="21" t="str">
        <f t="shared" ref="I17:I64" si="0">IF(H17="Business", G17, "0")</f>
        <v>0</v>
      </c>
      <c r="J17" s="69"/>
      <c r="K17" s="45"/>
    </row>
    <row r="18" spans="1:12" ht="12.6" customHeight="1" x14ac:dyDescent="0.3">
      <c r="A18" s="28">
        <v>40849</v>
      </c>
      <c r="B18" s="145"/>
      <c r="C18" s="249" t="s">
        <v>266</v>
      </c>
      <c r="D18" s="250"/>
      <c r="E18" s="24">
        <f t="shared" ref="E18:E64" si="1">F17</f>
        <v>10</v>
      </c>
      <c r="F18" s="27">
        <v>132</v>
      </c>
      <c r="G18" s="26">
        <f t="shared" ref="G18:G64" si="2">F18-E18</f>
        <v>122</v>
      </c>
      <c r="H18" s="145" t="s">
        <v>45</v>
      </c>
      <c r="I18" s="21">
        <f t="shared" si="0"/>
        <v>122</v>
      </c>
      <c r="J18" s="69"/>
      <c r="K18" s="70"/>
    </row>
    <row r="19" spans="1:12" ht="12.6" customHeight="1" x14ac:dyDescent="0.3">
      <c r="A19" s="28">
        <v>40850</v>
      </c>
      <c r="B19" s="145"/>
      <c r="C19" s="249" t="s">
        <v>268</v>
      </c>
      <c r="D19" s="250"/>
      <c r="E19" s="24">
        <f t="shared" si="1"/>
        <v>132</v>
      </c>
      <c r="F19" s="27">
        <v>250</v>
      </c>
      <c r="G19" s="26">
        <f t="shared" si="2"/>
        <v>118</v>
      </c>
      <c r="H19" s="145" t="s">
        <v>45</v>
      </c>
      <c r="I19" s="21">
        <f t="shared" si="0"/>
        <v>118</v>
      </c>
      <c r="J19" s="69"/>
      <c r="K19" s="70"/>
    </row>
    <row r="20" spans="1:12" ht="12.6" customHeight="1" x14ac:dyDescent="0.3">
      <c r="A20" s="28">
        <v>40851</v>
      </c>
      <c r="B20" s="145"/>
      <c r="C20" s="249" t="s">
        <v>269</v>
      </c>
      <c r="D20" s="250"/>
      <c r="E20" s="24">
        <f t="shared" si="1"/>
        <v>250</v>
      </c>
      <c r="F20" s="27">
        <v>375</v>
      </c>
      <c r="G20" s="26">
        <f t="shared" si="2"/>
        <v>125</v>
      </c>
      <c r="H20" s="145" t="s">
        <v>45</v>
      </c>
      <c r="I20" s="21">
        <f t="shared" si="0"/>
        <v>125</v>
      </c>
      <c r="J20" s="69"/>
      <c r="K20" s="70"/>
    </row>
    <row r="21" spans="1:12" ht="12.6" customHeight="1" x14ac:dyDescent="0.3">
      <c r="A21" s="28">
        <v>40852</v>
      </c>
      <c r="B21" s="145"/>
      <c r="C21" s="249" t="s">
        <v>270</v>
      </c>
      <c r="D21" s="250"/>
      <c r="E21" s="24">
        <f t="shared" si="1"/>
        <v>375</v>
      </c>
      <c r="F21" s="27">
        <v>512</v>
      </c>
      <c r="G21" s="26">
        <f t="shared" si="2"/>
        <v>137</v>
      </c>
      <c r="H21" s="145" t="s">
        <v>45</v>
      </c>
      <c r="I21" s="21">
        <f t="shared" si="0"/>
        <v>137</v>
      </c>
      <c r="J21" s="69"/>
      <c r="K21" s="70"/>
    </row>
    <row r="22" spans="1:12" ht="12.6" customHeight="1" x14ac:dyDescent="0.3">
      <c r="A22" s="28">
        <v>40853</v>
      </c>
      <c r="B22" s="145"/>
      <c r="C22" s="249" t="s">
        <v>271</v>
      </c>
      <c r="D22" s="250"/>
      <c r="E22" s="24">
        <f t="shared" si="1"/>
        <v>512</v>
      </c>
      <c r="F22" s="27">
        <v>590</v>
      </c>
      <c r="G22" s="26">
        <f t="shared" si="2"/>
        <v>78</v>
      </c>
      <c r="H22" s="145" t="s">
        <v>45</v>
      </c>
      <c r="I22" s="21">
        <f t="shared" si="0"/>
        <v>78</v>
      </c>
      <c r="J22" s="69"/>
      <c r="K22" s="70"/>
    </row>
    <row r="23" spans="1:12" ht="12.6" customHeight="1" x14ac:dyDescent="0.3">
      <c r="A23" s="28">
        <v>40854</v>
      </c>
      <c r="B23" s="145"/>
      <c r="C23" s="249" t="s">
        <v>272</v>
      </c>
      <c r="D23" s="250"/>
      <c r="E23" s="24">
        <f t="shared" si="1"/>
        <v>590</v>
      </c>
      <c r="F23" s="27">
        <v>648</v>
      </c>
      <c r="G23" s="26">
        <f t="shared" si="2"/>
        <v>58</v>
      </c>
      <c r="H23" s="145" t="s">
        <v>45</v>
      </c>
      <c r="I23" s="21">
        <f t="shared" si="0"/>
        <v>58</v>
      </c>
      <c r="J23" s="69">
        <v>593</v>
      </c>
      <c r="K23" s="70">
        <v>67.02</v>
      </c>
    </row>
    <row r="24" spans="1:12" ht="12.6" customHeight="1" x14ac:dyDescent="0.3">
      <c r="A24" s="28">
        <v>40855</v>
      </c>
      <c r="B24" s="145"/>
      <c r="C24" s="249" t="s">
        <v>273</v>
      </c>
      <c r="D24" s="250"/>
      <c r="E24" s="24">
        <f t="shared" si="1"/>
        <v>648</v>
      </c>
      <c r="F24" s="27">
        <v>755</v>
      </c>
      <c r="G24" s="26">
        <f t="shared" si="2"/>
        <v>107</v>
      </c>
      <c r="H24" s="145" t="s">
        <v>45</v>
      </c>
      <c r="I24" s="21">
        <f t="shared" si="0"/>
        <v>107</v>
      </c>
      <c r="J24" s="69"/>
      <c r="K24" s="70"/>
    </row>
    <row r="25" spans="1:12" ht="12.6" customHeight="1" x14ac:dyDescent="0.3">
      <c r="A25" s="28">
        <v>40856</v>
      </c>
      <c r="B25" s="145"/>
      <c r="C25" s="249" t="s">
        <v>274</v>
      </c>
      <c r="D25" s="250"/>
      <c r="E25" s="24">
        <f t="shared" si="1"/>
        <v>755</v>
      </c>
      <c r="F25" s="27">
        <v>867</v>
      </c>
      <c r="G25" s="26">
        <f t="shared" si="2"/>
        <v>112</v>
      </c>
      <c r="H25" s="145" t="s">
        <v>45</v>
      </c>
      <c r="I25" s="21">
        <f t="shared" si="0"/>
        <v>112</v>
      </c>
      <c r="J25" s="69"/>
      <c r="K25" s="70"/>
    </row>
    <row r="26" spans="1:12" ht="27.6" customHeight="1" x14ac:dyDescent="0.3">
      <c r="A26" s="28">
        <v>40857</v>
      </c>
      <c r="B26" s="145"/>
      <c r="C26" s="249" t="s">
        <v>275</v>
      </c>
      <c r="D26" s="250"/>
      <c r="E26" s="24">
        <f t="shared" si="1"/>
        <v>867</v>
      </c>
      <c r="F26" s="27">
        <v>990</v>
      </c>
      <c r="G26" s="26">
        <f t="shared" si="2"/>
        <v>123</v>
      </c>
      <c r="H26" s="145" t="s">
        <v>45</v>
      </c>
      <c r="I26" s="21">
        <f t="shared" si="0"/>
        <v>123</v>
      </c>
      <c r="J26" s="69"/>
      <c r="K26" s="70"/>
    </row>
    <row r="27" spans="1:12" ht="12.6" customHeight="1" x14ac:dyDescent="0.3">
      <c r="A27" s="28">
        <v>40858</v>
      </c>
      <c r="B27" s="145"/>
      <c r="C27" s="249" t="s">
        <v>273</v>
      </c>
      <c r="D27" s="250"/>
      <c r="E27" s="24">
        <f t="shared" si="1"/>
        <v>990</v>
      </c>
      <c r="F27" s="27">
        <v>1105</v>
      </c>
      <c r="G27" s="26">
        <f t="shared" si="2"/>
        <v>115</v>
      </c>
      <c r="H27" s="145" t="s">
        <v>45</v>
      </c>
      <c r="I27" s="21">
        <f t="shared" si="0"/>
        <v>115</v>
      </c>
      <c r="J27" s="69"/>
      <c r="K27" s="70"/>
      <c r="L27" s="29"/>
    </row>
    <row r="28" spans="1:12" ht="12.6" customHeight="1" x14ac:dyDescent="0.3">
      <c r="A28" s="28">
        <v>40860</v>
      </c>
      <c r="B28" s="145"/>
      <c r="C28" s="249" t="s">
        <v>276</v>
      </c>
      <c r="D28" s="250"/>
      <c r="E28" s="24">
        <f t="shared" si="1"/>
        <v>1105</v>
      </c>
      <c r="F28" s="27">
        <v>1515</v>
      </c>
      <c r="G28" s="26">
        <f t="shared" si="2"/>
        <v>410</v>
      </c>
      <c r="H28" s="145" t="s">
        <v>45</v>
      </c>
      <c r="I28" s="21">
        <f t="shared" si="0"/>
        <v>410</v>
      </c>
      <c r="J28" s="69">
        <v>1203</v>
      </c>
      <c r="K28" s="70">
        <v>71.72</v>
      </c>
    </row>
    <row r="29" spans="1:12" ht="12.6" customHeight="1" x14ac:dyDescent="0.3">
      <c r="A29" s="28">
        <v>40861</v>
      </c>
      <c r="B29" s="145"/>
      <c r="C29" s="249" t="s">
        <v>277</v>
      </c>
      <c r="D29" s="250"/>
      <c r="E29" s="24">
        <f t="shared" si="1"/>
        <v>1515</v>
      </c>
      <c r="F29" s="27">
        <v>1627</v>
      </c>
      <c r="G29" s="26">
        <f t="shared" si="2"/>
        <v>112</v>
      </c>
      <c r="H29" s="145" t="s">
        <v>45</v>
      </c>
      <c r="I29" s="21">
        <f t="shared" si="0"/>
        <v>112</v>
      </c>
      <c r="J29" s="69"/>
      <c r="K29" s="70"/>
    </row>
    <row r="30" spans="1:12" ht="12.6" customHeight="1" x14ac:dyDescent="0.3">
      <c r="A30" s="28">
        <v>40862</v>
      </c>
      <c r="B30" s="145"/>
      <c r="C30" s="249" t="s">
        <v>268</v>
      </c>
      <c r="D30" s="250"/>
      <c r="E30" s="24">
        <f t="shared" si="1"/>
        <v>1627</v>
      </c>
      <c r="F30" s="27">
        <v>1728</v>
      </c>
      <c r="G30" s="26">
        <f t="shared" si="2"/>
        <v>101</v>
      </c>
      <c r="H30" s="145" t="s">
        <v>45</v>
      </c>
      <c r="I30" s="21">
        <f t="shared" si="0"/>
        <v>101</v>
      </c>
      <c r="J30" s="69"/>
      <c r="K30" s="70"/>
    </row>
    <row r="31" spans="1:12" ht="12.6" customHeight="1" x14ac:dyDescent="0.25">
      <c r="A31" s="28">
        <v>40863</v>
      </c>
      <c r="B31" s="145"/>
      <c r="C31" s="249" t="s">
        <v>274</v>
      </c>
      <c r="D31" s="250"/>
      <c r="E31" s="24">
        <f t="shared" si="1"/>
        <v>1728</v>
      </c>
      <c r="F31" s="27">
        <v>1847</v>
      </c>
      <c r="G31" s="26">
        <f t="shared" si="2"/>
        <v>119</v>
      </c>
      <c r="H31" s="145" t="s">
        <v>45</v>
      </c>
      <c r="I31" s="21">
        <f t="shared" si="0"/>
        <v>119</v>
      </c>
      <c r="J31" s="69">
        <v>1836</v>
      </c>
      <c r="K31" s="70">
        <v>67.27</v>
      </c>
    </row>
    <row r="32" spans="1:12" ht="12.6" customHeight="1" x14ac:dyDescent="0.25">
      <c r="A32" s="28">
        <v>40864</v>
      </c>
      <c r="B32" s="145"/>
      <c r="C32" s="249" t="s">
        <v>278</v>
      </c>
      <c r="D32" s="250"/>
      <c r="E32" s="24">
        <f t="shared" si="1"/>
        <v>1847</v>
      </c>
      <c r="F32" s="27">
        <v>1967</v>
      </c>
      <c r="G32" s="26">
        <f t="shared" si="2"/>
        <v>120</v>
      </c>
      <c r="H32" s="145" t="s">
        <v>45</v>
      </c>
      <c r="I32" s="21">
        <f t="shared" si="0"/>
        <v>120</v>
      </c>
      <c r="J32" s="69"/>
      <c r="K32" s="70"/>
    </row>
    <row r="33" spans="1:11" ht="12.6" customHeight="1" x14ac:dyDescent="0.25">
      <c r="A33" s="28">
        <v>40865</v>
      </c>
      <c r="B33" s="145"/>
      <c r="C33" s="249" t="s">
        <v>268</v>
      </c>
      <c r="D33" s="250"/>
      <c r="E33" s="24">
        <f t="shared" si="1"/>
        <v>1967</v>
      </c>
      <c r="F33" s="27">
        <v>2097</v>
      </c>
      <c r="G33" s="26">
        <f t="shared" si="2"/>
        <v>130</v>
      </c>
      <c r="H33" s="145" t="s">
        <v>45</v>
      </c>
      <c r="I33" s="21">
        <f t="shared" si="0"/>
        <v>130</v>
      </c>
      <c r="J33" s="69"/>
      <c r="K33" s="70"/>
    </row>
    <row r="34" spans="1:11" ht="12.6" customHeight="1" x14ac:dyDescent="0.25">
      <c r="A34" s="28">
        <v>40868</v>
      </c>
      <c r="B34" s="145"/>
      <c r="C34" s="249" t="s">
        <v>279</v>
      </c>
      <c r="D34" s="250"/>
      <c r="E34" s="24">
        <f t="shared" si="1"/>
        <v>2097</v>
      </c>
      <c r="F34" s="27">
        <v>2223</v>
      </c>
      <c r="G34" s="26">
        <f t="shared" si="2"/>
        <v>126</v>
      </c>
      <c r="H34" s="145" t="s">
        <v>45</v>
      </c>
      <c r="I34" s="21">
        <f t="shared" si="0"/>
        <v>126</v>
      </c>
      <c r="J34" s="69"/>
      <c r="K34" s="70"/>
    </row>
    <row r="35" spans="1:11" ht="12.6" customHeight="1" x14ac:dyDescent="0.25">
      <c r="A35" s="28">
        <v>40869</v>
      </c>
      <c r="B35" s="145"/>
      <c r="C35" s="249" t="s">
        <v>268</v>
      </c>
      <c r="D35" s="250"/>
      <c r="E35" s="24">
        <f t="shared" si="1"/>
        <v>2223</v>
      </c>
      <c r="F35" s="27">
        <v>2333</v>
      </c>
      <c r="G35" s="26">
        <f t="shared" si="2"/>
        <v>110</v>
      </c>
      <c r="H35" s="145" t="s">
        <v>45</v>
      </c>
      <c r="I35" s="21">
        <f t="shared" si="0"/>
        <v>110</v>
      </c>
      <c r="J35" s="69">
        <v>2322</v>
      </c>
      <c r="K35" s="70">
        <v>54.82</v>
      </c>
    </row>
    <row r="36" spans="1:11" ht="12.6" customHeight="1" x14ac:dyDescent="0.25">
      <c r="A36" s="28">
        <v>40870</v>
      </c>
      <c r="B36" s="145"/>
      <c r="C36" s="249" t="s">
        <v>280</v>
      </c>
      <c r="D36" s="250"/>
      <c r="E36" s="24">
        <f t="shared" si="1"/>
        <v>2333</v>
      </c>
      <c r="F36" s="27">
        <v>2395</v>
      </c>
      <c r="G36" s="26">
        <f t="shared" si="2"/>
        <v>62</v>
      </c>
      <c r="H36" s="145" t="s">
        <v>45</v>
      </c>
      <c r="I36" s="21">
        <f t="shared" si="0"/>
        <v>62</v>
      </c>
      <c r="J36" s="69"/>
      <c r="K36" s="70"/>
    </row>
    <row r="37" spans="1:11" ht="12.6" customHeight="1" x14ac:dyDescent="0.25">
      <c r="A37" s="28">
        <v>40871</v>
      </c>
      <c r="B37" s="145"/>
      <c r="C37" s="249" t="s">
        <v>281</v>
      </c>
      <c r="D37" s="250"/>
      <c r="E37" s="24">
        <f t="shared" si="1"/>
        <v>2395</v>
      </c>
      <c r="F37" s="27">
        <v>2478</v>
      </c>
      <c r="G37" s="26">
        <f t="shared" si="2"/>
        <v>83</v>
      </c>
      <c r="H37" s="145" t="s">
        <v>45</v>
      </c>
      <c r="I37" s="21">
        <f t="shared" si="0"/>
        <v>83</v>
      </c>
      <c r="J37" s="69"/>
      <c r="K37" s="70"/>
    </row>
    <row r="38" spans="1:11" ht="12.6" customHeight="1" x14ac:dyDescent="0.25">
      <c r="A38" s="28">
        <v>40872</v>
      </c>
      <c r="B38" s="145"/>
      <c r="C38" s="249" t="s">
        <v>282</v>
      </c>
      <c r="D38" s="250"/>
      <c r="E38" s="24">
        <f t="shared" si="1"/>
        <v>2478</v>
      </c>
      <c r="F38" s="27">
        <v>2601</v>
      </c>
      <c r="G38" s="26">
        <f t="shared" si="2"/>
        <v>123</v>
      </c>
      <c r="H38" s="145" t="s">
        <v>45</v>
      </c>
      <c r="I38" s="21">
        <f t="shared" si="0"/>
        <v>123</v>
      </c>
      <c r="J38" s="69"/>
      <c r="K38" s="70"/>
    </row>
    <row r="39" spans="1:11" ht="12.6" customHeight="1" x14ac:dyDescent="0.25">
      <c r="A39" s="28">
        <v>40875</v>
      </c>
      <c r="B39" s="145"/>
      <c r="C39" s="249" t="s">
        <v>283</v>
      </c>
      <c r="D39" s="250"/>
      <c r="E39" s="24">
        <f t="shared" si="1"/>
        <v>2601</v>
      </c>
      <c r="F39" s="27">
        <v>2735</v>
      </c>
      <c r="G39" s="26">
        <f t="shared" si="2"/>
        <v>134</v>
      </c>
      <c r="H39" s="145" t="s">
        <v>45</v>
      </c>
      <c r="I39" s="21">
        <f t="shared" si="0"/>
        <v>134</v>
      </c>
      <c r="J39" s="69">
        <v>2724</v>
      </c>
      <c r="K39" s="70">
        <v>52.76</v>
      </c>
    </row>
    <row r="40" spans="1:11" ht="12.6" customHeight="1" x14ac:dyDescent="0.25">
      <c r="A40" s="28">
        <v>40876</v>
      </c>
      <c r="B40" s="145"/>
      <c r="C40" s="249" t="s">
        <v>284</v>
      </c>
      <c r="D40" s="250"/>
      <c r="E40" s="24">
        <f t="shared" si="1"/>
        <v>2735</v>
      </c>
      <c r="F40" s="27">
        <v>2897</v>
      </c>
      <c r="G40" s="26">
        <f t="shared" si="2"/>
        <v>162</v>
      </c>
      <c r="H40" s="145" t="s">
        <v>45</v>
      </c>
      <c r="I40" s="21">
        <f t="shared" si="0"/>
        <v>162</v>
      </c>
      <c r="J40" s="69"/>
      <c r="K40" s="70"/>
    </row>
    <row r="41" spans="1:11" ht="12.6" customHeight="1" x14ac:dyDescent="0.25">
      <c r="A41" s="28">
        <v>40877</v>
      </c>
      <c r="B41" s="145"/>
      <c r="C41" s="249" t="s">
        <v>268</v>
      </c>
      <c r="D41" s="250"/>
      <c r="E41" s="24">
        <f t="shared" si="1"/>
        <v>2897</v>
      </c>
      <c r="F41" s="27">
        <v>3003</v>
      </c>
      <c r="G41" s="26">
        <f t="shared" si="2"/>
        <v>106</v>
      </c>
      <c r="H41" s="145" t="s">
        <v>45</v>
      </c>
      <c r="I41" s="21">
        <f t="shared" si="0"/>
        <v>106</v>
      </c>
      <c r="J41" s="69"/>
      <c r="K41" s="70"/>
    </row>
    <row r="42" spans="1:11" ht="27.6" customHeight="1" x14ac:dyDescent="0.25">
      <c r="A42" s="28">
        <v>40878</v>
      </c>
      <c r="B42" s="145"/>
      <c r="C42" s="249" t="s">
        <v>285</v>
      </c>
      <c r="D42" s="250"/>
      <c r="E42" s="24">
        <f t="shared" si="1"/>
        <v>3003</v>
      </c>
      <c r="F42" s="27">
        <v>3119</v>
      </c>
      <c r="G42" s="26">
        <f t="shared" si="2"/>
        <v>116</v>
      </c>
      <c r="H42" s="145" t="s">
        <v>45</v>
      </c>
      <c r="I42" s="21">
        <f t="shared" si="0"/>
        <v>116</v>
      </c>
      <c r="J42" s="69"/>
      <c r="K42" s="70"/>
    </row>
    <row r="43" spans="1:11" ht="12.6" customHeight="1" x14ac:dyDescent="0.25">
      <c r="A43" s="28">
        <v>40879</v>
      </c>
      <c r="B43" s="145"/>
      <c r="C43" s="249" t="s">
        <v>268</v>
      </c>
      <c r="D43" s="250"/>
      <c r="E43" s="24">
        <f t="shared" si="1"/>
        <v>3119</v>
      </c>
      <c r="F43" s="27">
        <v>3222</v>
      </c>
      <c r="G43" s="26">
        <f t="shared" si="2"/>
        <v>103</v>
      </c>
      <c r="H43" s="145" t="s">
        <v>45</v>
      </c>
      <c r="I43" s="21">
        <f t="shared" si="0"/>
        <v>103</v>
      </c>
      <c r="J43" s="69">
        <v>3225</v>
      </c>
      <c r="K43" s="70">
        <v>45.73</v>
      </c>
    </row>
    <row r="44" spans="1:11" ht="12.6" customHeight="1" x14ac:dyDescent="0.25">
      <c r="A44" s="28" t="s">
        <v>267</v>
      </c>
      <c r="B44" s="145"/>
      <c r="C44" s="249" t="s">
        <v>286</v>
      </c>
      <c r="D44" s="250"/>
      <c r="E44" s="24">
        <f t="shared" si="1"/>
        <v>3222</v>
      </c>
      <c r="F44" s="27">
        <v>3583</v>
      </c>
      <c r="G44" s="26">
        <f t="shared" si="2"/>
        <v>361</v>
      </c>
      <c r="H44" s="145" t="s">
        <v>45</v>
      </c>
      <c r="I44" s="21">
        <f t="shared" si="0"/>
        <v>361</v>
      </c>
      <c r="J44" s="69"/>
      <c r="K44" s="70"/>
    </row>
    <row r="45" spans="1:11" ht="12.6" customHeight="1" x14ac:dyDescent="0.25">
      <c r="A45" s="28">
        <v>41248</v>
      </c>
      <c r="B45" s="145"/>
      <c r="C45" s="249" t="s">
        <v>54</v>
      </c>
      <c r="D45" s="250"/>
      <c r="E45" s="24">
        <f t="shared" si="1"/>
        <v>3583</v>
      </c>
      <c r="F45" s="27">
        <v>3694</v>
      </c>
      <c r="G45" s="26">
        <f t="shared" si="2"/>
        <v>111</v>
      </c>
      <c r="H45" s="145" t="s">
        <v>45</v>
      </c>
      <c r="I45" s="21">
        <f t="shared" si="0"/>
        <v>111</v>
      </c>
      <c r="J45" s="69"/>
      <c r="K45" s="70"/>
    </row>
    <row r="46" spans="1:11" ht="12.6" customHeight="1" x14ac:dyDescent="0.25">
      <c r="A46" s="28">
        <v>41249</v>
      </c>
      <c r="B46" s="145"/>
      <c r="C46" s="249" t="s">
        <v>54</v>
      </c>
      <c r="D46" s="250"/>
      <c r="E46" s="24">
        <f t="shared" si="1"/>
        <v>3694</v>
      </c>
      <c r="F46" s="27">
        <v>3800</v>
      </c>
      <c r="G46" s="26">
        <f t="shared" si="2"/>
        <v>106</v>
      </c>
      <c r="H46" s="145" t="s">
        <v>45</v>
      </c>
      <c r="I46" s="21">
        <f t="shared" si="0"/>
        <v>106</v>
      </c>
      <c r="J46" s="69"/>
      <c r="K46" s="70"/>
    </row>
    <row r="47" spans="1:11" ht="12.6" customHeight="1" x14ac:dyDescent="0.25">
      <c r="A47" s="28">
        <v>41250</v>
      </c>
      <c r="B47" s="145"/>
      <c r="C47" s="249" t="s">
        <v>54</v>
      </c>
      <c r="D47" s="250"/>
      <c r="E47" s="24">
        <f t="shared" si="1"/>
        <v>3800</v>
      </c>
      <c r="F47" s="27">
        <v>3904</v>
      </c>
      <c r="G47" s="26">
        <f t="shared" si="2"/>
        <v>104</v>
      </c>
      <c r="H47" s="145" t="s">
        <v>45</v>
      </c>
      <c r="I47" s="21">
        <f t="shared" si="0"/>
        <v>104</v>
      </c>
      <c r="J47" s="69"/>
      <c r="K47" s="70"/>
    </row>
    <row r="48" spans="1:11" ht="12.6" customHeight="1" x14ac:dyDescent="0.25">
      <c r="A48" s="28">
        <v>41251</v>
      </c>
      <c r="B48" s="145"/>
      <c r="C48" s="249" t="s">
        <v>54</v>
      </c>
      <c r="D48" s="250"/>
      <c r="E48" s="24">
        <f t="shared" si="1"/>
        <v>3904</v>
      </c>
      <c r="F48" s="27">
        <v>4033</v>
      </c>
      <c r="G48" s="26">
        <f t="shared" si="2"/>
        <v>129</v>
      </c>
      <c r="H48" s="145" t="s">
        <v>45</v>
      </c>
      <c r="I48" s="21">
        <f t="shared" si="0"/>
        <v>129</v>
      </c>
      <c r="J48" s="69">
        <v>3907</v>
      </c>
      <c r="K48" s="70">
        <v>70.53</v>
      </c>
    </row>
    <row r="49" spans="1:11" ht="12.6" customHeight="1" x14ac:dyDescent="0.25">
      <c r="A49" s="28">
        <v>41252</v>
      </c>
      <c r="B49" s="145"/>
      <c r="C49" s="249" t="s">
        <v>54</v>
      </c>
      <c r="D49" s="250"/>
      <c r="E49" s="24">
        <f t="shared" si="1"/>
        <v>4033</v>
      </c>
      <c r="F49" s="27">
        <v>4140</v>
      </c>
      <c r="G49" s="26">
        <f t="shared" si="2"/>
        <v>107</v>
      </c>
      <c r="H49" s="145" t="s">
        <v>45</v>
      </c>
      <c r="I49" s="21">
        <f t="shared" si="0"/>
        <v>107</v>
      </c>
      <c r="J49" s="69"/>
      <c r="K49" s="70"/>
    </row>
    <row r="50" spans="1:11" ht="12.6" customHeight="1" x14ac:dyDescent="0.25">
      <c r="A50" s="28">
        <v>41255</v>
      </c>
      <c r="B50" s="145"/>
      <c r="C50" s="249" t="s">
        <v>54</v>
      </c>
      <c r="D50" s="250"/>
      <c r="E50" s="24">
        <f t="shared" si="1"/>
        <v>4140</v>
      </c>
      <c r="F50" s="27">
        <v>4347</v>
      </c>
      <c r="G50" s="26">
        <f t="shared" si="2"/>
        <v>207</v>
      </c>
      <c r="H50" s="145" t="s">
        <v>45</v>
      </c>
      <c r="I50" s="21">
        <f t="shared" si="0"/>
        <v>207</v>
      </c>
      <c r="J50" s="69"/>
      <c r="K50" s="70"/>
    </row>
    <row r="51" spans="1:11" ht="12.6" customHeight="1" x14ac:dyDescent="0.25">
      <c r="A51" s="28">
        <v>41256</v>
      </c>
      <c r="B51" s="145"/>
      <c r="C51" s="249" t="s">
        <v>54</v>
      </c>
      <c r="D51" s="250"/>
      <c r="E51" s="24">
        <f t="shared" si="1"/>
        <v>4347</v>
      </c>
      <c r="F51" s="27">
        <v>4459</v>
      </c>
      <c r="G51" s="26">
        <f t="shared" si="2"/>
        <v>112</v>
      </c>
      <c r="H51" s="145" t="s">
        <v>45</v>
      </c>
      <c r="I51" s="21">
        <f t="shared" si="0"/>
        <v>112</v>
      </c>
      <c r="J51" s="69"/>
      <c r="K51" s="70"/>
    </row>
    <row r="52" spans="1:11" ht="12.6" customHeight="1" x14ac:dyDescent="0.25">
      <c r="A52" s="28">
        <v>41257</v>
      </c>
      <c r="B52" s="145"/>
      <c r="C52" s="249" t="s">
        <v>54</v>
      </c>
      <c r="D52" s="250"/>
      <c r="E52" s="24">
        <f t="shared" si="1"/>
        <v>4459</v>
      </c>
      <c r="F52" s="27">
        <v>4581</v>
      </c>
      <c r="G52" s="26">
        <f t="shared" si="2"/>
        <v>122</v>
      </c>
      <c r="H52" s="145" t="s">
        <v>45</v>
      </c>
      <c r="I52" s="21">
        <f t="shared" si="0"/>
        <v>122</v>
      </c>
      <c r="J52" s="69">
        <v>4477</v>
      </c>
      <c r="K52" s="70">
        <v>66.09</v>
      </c>
    </row>
    <row r="53" spans="1:11" ht="12.6" customHeight="1" x14ac:dyDescent="0.25">
      <c r="A53" s="28">
        <v>41258</v>
      </c>
      <c r="B53" s="145"/>
      <c r="C53" s="249" t="s">
        <v>54</v>
      </c>
      <c r="D53" s="250"/>
      <c r="E53" s="24">
        <f t="shared" si="1"/>
        <v>4581</v>
      </c>
      <c r="F53" s="27">
        <v>4735</v>
      </c>
      <c r="G53" s="26">
        <f t="shared" si="2"/>
        <v>154</v>
      </c>
      <c r="H53" s="145" t="s">
        <v>45</v>
      </c>
      <c r="I53" s="21">
        <f t="shared" si="0"/>
        <v>154</v>
      </c>
      <c r="J53" s="69"/>
      <c r="K53" s="70"/>
    </row>
    <row r="54" spans="1:11" ht="12.6" customHeight="1" x14ac:dyDescent="0.25">
      <c r="A54" s="28">
        <v>41259</v>
      </c>
      <c r="B54" s="145"/>
      <c r="C54" s="249" t="s">
        <v>54</v>
      </c>
      <c r="D54" s="250"/>
      <c r="E54" s="24">
        <f t="shared" si="1"/>
        <v>4735</v>
      </c>
      <c r="F54" s="27">
        <v>4935</v>
      </c>
      <c r="G54" s="26">
        <f t="shared" si="2"/>
        <v>200</v>
      </c>
      <c r="H54" s="145" t="s">
        <v>45</v>
      </c>
      <c r="I54" s="21">
        <f t="shared" si="0"/>
        <v>200</v>
      </c>
      <c r="J54" s="69"/>
      <c r="K54" s="70"/>
    </row>
    <row r="55" spans="1:11" ht="12.6" customHeight="1" x14ac:dyDescent="0.25">
      <c r="A55" s="28">
        <v>41261</v>
      </c>
      <c r="B55" s="145"/>
      <c r="C55" s="249" t="s">
        <v>54</v>
      </c>
      <c r="D55" s="250"/>
      <c r="E55" s="24">
        <f t="shared" si="1"/>
        <v>4935</v>
      </c>
      <c r="F55" s="27">
        <v>5288</v>
      </c>
      <c r="G55" s="26">
        <f t="shared" si="2"/>
        <v>353</v>
      </c>
      <c r="H55" s="145" t="s">
        <v>45</v>
      </c>
      <c r="I55" s="21">
        <f t="shared" si="0"/>
        <v>353</v>
      </c>
      <c r="J55" s="69">
        <v>4953</v>
      </c>
      <c r="K55" s="70">
        <v>18.97</v>
      </c>
    </row>
    <row r="56" spans="1:11" ht="12.6" customHeight="1" x14ac:dyDescent="0.25">
      <c r="A56" s="28">
        <v>41262</v>
      </c>
      <c r="B56" s="145"/>
      <c r="C56" s="249" t="s">
        <v>54</v>
      </c>
      <c r="D56" s="250"/>
      <c r="E56" s="24">
        <f t="shared" si="1"/>
        <v>5288</v>
      </c>
      <c r="F56" s="27">
        <v>5400</v>
      </c>
      <c r="G56" s="26">
        <f t="shared" si="2"/>
        <v>112</v>
      </c>
      <c r="H56" s="145" t="s">
        <v>45</v>
      </c>
      <c r="I56" s="21">
        <f t="shared" si="0"/>
        <v>112</v>
      </c>
      <c r="J56" s="69">
        <v>5090</v>
      </c>
      <c r="K56" s="70">
        <v>52.26</v>
      </c>
    </row>
    <row r="57" spans="1:11" ht="12.6" customHeight="1" x14ac:dyDescent="0.25">
      <c r="A57" s="28">
        <v>41263</v>
      </c>
      <c r="B57" s="145"/>
      <c r="C57" s="249" t="s">
        <v>54</v>
      </c>
      <c r="D57" s="250"/>
      <c r="E57" s="24">
        <f t="shared" si="1"/>
        <v>5400</v>
      </c>
      <c r="F57" s="27">
        <v>5508</v>
      </c>
      <c r="G57" s="26">
        <f t="shared" si="2"/>
        <v>108</v>
      </c>
      <c r="H57" s="145" t="s">
        <v>45</v>
      </c>
      <c r="I57" s="21">
        <f t="shared" si="0"/>
        <v>108</v>
      </c>
      <c r="J57" s="69"/>
      <c r="K57" s="70"/>
    </row>
    <row r="58" spans="1:11" ht="12.6" customHeight="1" x14ac:dyDescent="0.25">
      <c r="A58" s="28">
        <v>41264</v>
      </c>
      <c r="B58" s="145"/>
      <c r="C58" s="249" t="s">
        <v>54</v>
      </c>
      <c r="D58" s="250"/>
      <c r="E58" s="24">
        <f t="shared" si="1"/>
        <v>5508</v>
      </c>
      <c r="F58" s="27">
        <v>5613</v>
      </c>
      <c r="G58" s="26">
        <f t="shared" si="2"/>
        <v>105</v>
      </c>
      <c r="H58" s="145" t="s">
        <v>45</v>
      </c>
      <c r="I58" s="21">
        <f t="shared" si="0"/>
        <v>105</v>
      </c>
      <c r="J58" s="69"/>
      <c r="K58" s="70"/>
    </row>
    <row r="59" spans="1:11" ht="12.6" customHeight="1" x14ac:dyDescent="0.25">
      <c r="A59" s="28">
        <v>41265</v>
      </c>
      <c r="B59" s="145"/>
      <c r="C59" s="249" t="s">
        <v>54</v>
      </c>
      <c r="D59" s="250"/>
      <c r="E59" s="24">
        <f t="shared" si="1"/>
        <v>5613</v>
      </c>
      <c r="F59" s="27">
        <v>5720</v>
      </c>
      <c r="G59" s="26">
        <f t="shared" si="2"/>
        <v>107</v>
      </c>
      <c r="H59" s="145" t="s">
        <v>45</v>
      </c>
      <c r="I59" s="21">
        <f t="shared" si="0"/>
        <v>107</v>
      </c>
      <c r="J59" s="69"/>
      <c r="K59" s="70"/>
    </row>
    <row r="60" spans="1:11" ht="12.6" customHeight="1" x14ac:dyDescent="0.25">
      <c r="A60" s="28">
        <v>41266</v>
      </c>
      <c r="B60" s="145"/>
      <c r="C60" s="249" t="s">
        <v>54</v>
      </c>
      <c r="D60" s="250"/>
      <c r="E60" s="24">
        <f t="shared" si="1"/>
        <v>5720</v>
      </c>
      <c r="F60" s="27">
        <v>5821</v>
      </c>
      <c r="G60" s="26">
        <f t="shared" si="2"/>
        <v>101</v>
      </c>
      <c r="H60" s="145" t="s">
        <v>45</v>
      </c>
      <c r="I60" s="21">
        <f t="shared" si="0"/>
        <v>101</v>
      </c>
      <c r="J60" s="69">
        <v>5814</v>
      </c>
      <c r="K60" s="70">
        <v>72.27</v>
      </c>
    </row>
    <row r="61" spans="1:11" ht="12.6" customHeight="1" x14ac:dyDescent="0.25">
      <c r="A61" s="28">
        <v>41270</v>
      </c>
      <c r="B61" s="145"/>
      <c r="C61" s="249" t="s">
        <v>54</v>
      </c>
      <c r="D61" s="250"/>
      <c r="E61" s="24">
        <f t="shared" si="1"/>
        <v>5821</v>
      </c>
      <c r="F61" s="27">
        <v>6406</v>
      </c>
      <c r="G61" s="26">
        <f t="shared" si="2"/>
        <v>585</v>
      </c>
      <c r="H61" s="145" t="s">
        <v>45</v>
      </c>
      <c r="I61" s="21">
        <f t="shared" si="0"/>
        <v>585</v>
      </c>
      <c r="J61" s="69">
        <v>6065</v>
      </c>
      <c r="K61" s="71">
        <v>30.34</v>
      </c>
    </row>
    <row r="62" spans="1:11" ht="12.6" customHeight="1" x14ac:dyDescent="0.25">
      <c r="A62" s="28">
        <v>41271</v>
      </c>
      <c r="B62" s="145"/>
      <c r="C62" s="249" t="s">
        <v>54</v>
      </c>
      <c r="D62" s="250"/>
      <c r="E62" s="24">
        <f t="shared" si="1"/>
        <v>6406</v>
      </c>
      <c r="F62" s="27">
        <v>6507</v>
      </c>
      <c r="G62" s="26">
        <f t="shared" si="2"/>
        <v>101</v>
      </c>
      <c r="H62" s="145" t="s">
        <v>45</v>
      </c>
      <c r="I62" s="21">
        <f t="shared" si="0"/>
        <v>101</v>
      </c>
      <c r="J62" s="69"/>
      <c r="K62" s="71"/>
    </row>
    <row r="63" spans="1:11" ht="12.6" customHeight="1" x14ac:dyDescent="0.25">
      <c r="A63" s="28">
        <v>41272</v>
      </c>
      <c r="B63" s="145"/>
      <c r="C63" s="249" t="s">
        <v>54</v>
      </c>
      <c r="D63" s="250"/>
      <c r="E63" s="24">
        <f t="shared" si="1"/>
        <v>6507</v>
      </c>
      <c r="F63" s="27">
        <v>6618</v>
      </c>
      <c r="G63" s="26">
        <f t="shared" si="2"/>
        <v>111</v>
      </c>
      <c r="H63" s="145" t="s">
        <v>45</v>
      </c>
      <c r="I63" s="21">
        <f t="shared" si="0"/>
        <v>111</v>
      </c>
      <c r="J63" s="69"/>
      <c r="K63" s="71"/>
    </row>
    <row r="64" spans="1:11" ht="27" customHeight="1" thickBot="1" x14ac:dyDescent="0.3">
      <c r="A64" s="28" t="s">
        <v>288</v>
      </c>
      <c r="B64" s="145"/>
      <c r="C64" s="249" t="s">
        <v>54</v>
      </c>
      <c r="D64" s="250"/>
      <c r="E64" s="24">
        <f t="shared" si="1"/>
        <v>6618</v>
      </c>
      <c r="F64" s="27">
        <v>6800</v>
      </c>
      <c r="G64" s="26">
        <f t="shared" si="2"/>
        <v>182</v>
      </c>
      <c r="H64" s="145" t="s">
        <v>45</v>
      </c>
      <c r="I64" s="21">
        <f t="shared" si="0"/>
        <v>182</v>
      </c>
      <c r="J64" s="69"/>
      <c r="K64" s="71"/>
    </row>
    <row r="65" spans="1:11" ht="12.6" customHeight="1" thickBot="1" x14ac:dyDescent="0.25">
      <c r="A65" s="235"/>
      <c r="B65" s="235"/>
      <c r="C65" s="235"/>
      <c r="D65" s="235"/>
      <c r="E65" s="18"/>
      <c r="F65" s="20" t="s">
        <v>44</v>
      </c>
      <c r="G65" s="19">
        <f>SUM(G17:G64)</f>
        <v>6790</v>
      </c>
      <c r="H65" s="18"/>
      <c r="I65" s="17">
        <f>SUM(I17:I64)</f>
        <v>6790</v>
      </c>
      <c r="K65" s="6">
        <f>SUM(K17:K64)</f>
        <v>669.78000000000009</v>
      </c>
    </row>
    <row r="66" spans="1:11" ht="12.6" customHeight="1" x14ac:dyDescent="0.2">
      <c r="A66" s="235"/>
      <c r="B66" s="235"/>
      <c r="C66" s="235"/>
      <c r="D66" s="235"/>
      <c r="E66" s="267"/>
      <c r="F66" s="267"/>
      <c r="G66" s="267"/>
      <c r="H66" s="267"/>
      <c r="I66" s="268"/>
      <c r="K66" s="146"/>
    </row>
    <row r="67" spans="1:11" ht="12.6" customHeight="1" x14ac:dyDescent="0.25">
      <c r="A67" s="235"/>
      <c r="B67" s="235"/>
      <c r="C67" s="235"/>
      <c r="D67" s="235"/>
      <c r="E67" s="269" t="s">
        <v>43</v>
      </c>
      <c r="F67" s="242"/>
      <c r="G67" s="16">
        <f>(I65/G65)</f>
        <v>1</v>
      </c>
      <c r="H67" s="147"/>
      <c r="I67" s="15"/>
      <c r="K67" s="146"/>
    </row>
    <row r="68" spans="1:11" ht="12.6" customHeight="1" thickBot="1" x14ac:dyDescent="0.25">
      <c r="A68" s="235"/>
      <c r="B68" s="235"/>
      <c r="C68" s="235"/>
      <c r="D68" s="235"/>
      <c r="E68" s="270" t="s">
        <v>42</v>
      </c>
      <c r="F68" s="270"/>
      <c r="G68" s="270"/>
      <c r="H68" s="270"/>
      <c r="I68" s="271"/>
      <c r="K68" s="146"/>
    </row>
    <row r="69" spans="1:11" ht="12.6" customHeight="1" x14ac:dyDescent="0.2">
      <c r="A69" s="235"/>
      <c r="B69" s="235"/>
      <c r="C69" s="235"/>
      <c r="D69" s="235"/>
      <c r="E69" s="265"/>
      <c r="F69" s="265"/>
      <c r="G69" s="265"/>
      <c r="H69" s="265"/>
      <c r="I69" s="266"/>
      <c r="K69" s="146"/>
    </row>
  </sheetData>
  <mergeCells count="79">
    <mergeCell ref="D12:I12"/>
    <mergeCell ref="I15:I16"/>
    <mergeCell ref="H15:H16"/>
    <mergeCell ref="G15:G16"/>
    <mergeCell ref="E15:F15"/>
    <mergeCell ref="C15:D16"/>
    <mergeCell ref="A7:I7"/>
    <mergeCell ref="A8:B8"/>
    <mergeCell ref="A9:I9"/>
    <mergeCell ref="A10:B10"/>
    <mergeCell ref="A11:I11"/>
    <mergeCell ref="C25:D25"/>
    <mergeCell ref="C26:D26"/>
    <mergeCell ref="J15:K15"/>
    <mergeCell ref="A13:I13"/>
    <mergeCell ref="A14:I14"/>
    <mergeCell ref="A15:B15"/>
    <mergeCell ref="C27:D27"/>
    <mergeCell ref="A1:I1"/>
    <mergeCell ref="A2:I2"/>
    <mergeCell ref="A3:I3"/>
    <mergeCell ref="B4:C4"/>
    <mergeCell ref="A5:I5"/>
    <mergeCell ref="A6:B6"/>
    <mergeCell ref="D6:I6"/>
    <mergeCell ref="C21:D21"/>
    <mergeCell ref="C20:D20"/>
    <mergeCell ref="C19:D19"/>
    <mergeCell ref="C18:D18"/>
    <mergeCell ref="C17:D17"/>
    <mergeCell ref="C22:D22"/>
    <mergeCell ref="C23:D23"/>
    <mergeCell ref="C24:D24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1:D41"/>
    <mergeCell ref="C42:D42"/>
    <mergeCell ref="C43:D43"/>
    <mergeCell ref="C44:D44"/>
    <mergeCell ref="C45:D45"/>
    <mergeCell ref="E67:F67"/>
    <mergeCell ref="A68:D68"/>
    <mergeCell ref="E68:I68"/>
    <mergeCell ref="C46:D46"/>
    <mergeCell ref="C47:D47"/>
    <mergeCell ref="C48:D48"/>
    <mergeCell ref="C49:D49"/>
    <mergeCell ref="C50:D50"/>
    <mergeCell ref="C51:D51"/>
    <mergeCell ref="C61:D61"/>
    <mergeCell ref="C62:D62"/>
    <mergeCell ref="C63:D63"/>
    <mergeCell ref="C58:D58"/>
    <mergeCell ref="C59:D59"/>
    <mergeCell ref="C60:D60"/>
    <mergeCell ref="C52:D52"/>
    <mergeCell ref="C53:D53"/>
    <mergeCell ref="C54:D54"/>
    <mergeCell ref="C55:D55"/>
    <mergeCell ref="C56:D56"/>
    <mergeCell ref="C57:D57"/>
    <mergeCell ref="A69:D69"/>
    <mergeCell ref="E69:I69"/>
    <mergeCell ref="A65:D65"/>
    <mergeCell ref="A66:D66"/>
    <mergeCell ref="E66:I66"/>
    <mergeCell ref="A67:D67"/>
    <mergeCell ref="C64:D6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Business Income</vt:lpstr>
      <vt:lpstr>PAYG expenses </vt:lpstr>
      <vt:lpstr>Mileage PAYG</vt:lpstr>
      <vt:lpstr>Business Expenses4th quarter</vt:lpstr>
      <vt:lpstr>Mileage4th quarter</vt:lpstr>
      <vt:lpstr>Business Expenses1st quarter</vt:lpstr>
      <vt:lpstr>Business Expenses2nd quarter</vt:lpstr>
      <vt:lpstr>Mileage2nd quarter</vt:lpstr>
      <vt:lpstr>Business Expenses3rd quarter</vt:lpstr>
      <vt:lpstr>Mileage3rd quarter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2012-07-16T11:58:20Z</dcterms:modified>
</cp:coreProperties>
</file>